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20490" windowHeight="904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2" l="1"/>
  <c r="B20" i="5"/>
  <c r="C21" i="5"/>
  <c r="D21" i="5"/>
  <c r="B21" i="5"/>
  <c r="D20" i="5"/>
  <c r="C20" i="5"/>
  <c r="C19" i="5"/>
  <c r="C11" i="5"/>
  <c r="B15" i="5" l="1"/>
  <c r="B13" i="5"/>
  <c r="D13" i="5"/>
  <c r="C13" i="5"/>
  <c r="B12" i="5"/>
  <c r="D12" i="5"/>
  <c r="C12" i="5"/>
  <c r="C9" i="4"/>
  <c r="D9" i="4"/>
  <c r="E9" i="4"/>
  <c r="G9" i="4"/>
  <c r="H9" i="4"/>
  <c r="I9" i="4"/>
  <c r="F9" i="4"/>
  <c r="C44" i="3"/>
  <c r="D44" i="3"/>
  <c r="G44" i="3"/>
  <c r="H44" i="3"/>
  <c r="I44" i="3"/>
  <c r="F44" i="3"/>
  <c r="C43" i="3"/>
  <c r="D43" i="3"/>
  <c r="E43" i="3"/>
  <c r="G43" i="3"/>
  <c r="H43" i="3"/>
  <c r="I43" i="3"/>
  <c r="F43" i="3"/>
  <c r="C42" i="3"/>
  <c r="D42" i="3"/>
  <c r="E42" i="3"/>
  <c r="G42" i="3"/>
  <c r="H42" i="3"/>
  <c r="I42" i="3"/>
  <c r="E25" i="3"/>
  <c r="C25" i="3"/>
  <c r="D25" i="3"/>
  <c r="G25" i="3"/>
  <c r="H25" i="3"/>
  <c r="I25" i="3"/>
  <c r="F25" i="3"/>
  <c r="E26" i="3"/>
  <c r="C26" i="3"/>
  <c r="D26" i="3"/>
  <c r="G26" i="3"/>
  <c r="H26" i="3"/>
  <c r="I26" i="3"/>
  <c r="F26" i="3" l="1"/>
  <c r="E23" i="3"/>
  <c r="C23" i="3"/>
  <c r="D23" i="3"/>
  <c r="G23" i="3"/>
  <c r="H23" i="3"/>
  <c r="I23" i="3"/>
  <c r="F23" i="3"/>
  <c r="E21" i="3"/>
  <c r="C21" i="3"/>
  <c r="D21" i="3"/>
  <c r="G21" i="3"/>
  <c r="H21" i="3"/>
  <c r="I21" i="3"/>
  <c r="F21" i="3"/>
  <c r="E13" i="3"/>
  <c r="C13" i="3"/>
  <c r="D13" i="3"/>
  <c r="G13" i="3"/>
  <c r="H13" i="3"/>
  <c r="I13" i="3"/>
  <c r="F13" i="3"/>
  <c r="C10" i="3" l="1"/>
  <c r="D10" i="3"/>
  <c r="C12" i="3"/>
  <c r="D12" i="3"/>
  <c r="G12" i="3"/>
  <c r="H12" i="3"/>
  <c r="I12" i="3"/>
  <c r="F12" i="3"/>
  <c r="G10" i="3"/>
  <c r="E10" i="3" s="1"/>
  <c r="H10" i="3"/>
  <c r="I10" i="3"/>
  <c r="F10" i="3"/>
  <c r="C14" i="2"/>
  <c r="C38" i="1"/>
  <c r="C26" i="1"/>
  <c r="D21" i="2"/>
  <c r="D25" i="2"/>
  <c r="D23" i="2"/>
  <c r="B25" i="5"/>
  <c r="D19" i="5"/>
  <c r="B19" i="5"/>
  <c r="B23" i="5" s="1"/>
  <c r="B17" i="5"/>
  <c r="B16" i="5"/>
  <c r="D15" i="5"/>
  <c r="C15" i="5"/>
  <c r="D25" i="5"/>
  <c r="C25" i="5"/>
  <c r="B10" i="5"/>
  <c r="D6" i="5"/>
  <c r="C6" i="5"/>
  <c r="B6" i="5"/>
  <c r="E7" i="4"/>
  <c r="C7" i="4"/>
  <c r="I7" i="4"/>
  <c r="H7" i="4"/>
  <c r="G7" i="4"/>
  <c r="F7" i="4"/>
  <c r="D7" i="4"/>
  <c r="I8" i="3"/>
  <c r="E9" i="3"/>
  <c r="B18" i="5" l="1"/>
  <c r="C8" i="3"/>
  <c r="D8" i="3"/>
  <c r="E12" i="3"/>
  <c r="F8" i="3"/>
  <c r="G8" i="3"/>
  <c r="H8" i="3"/>
  <c r="C23" i="5"/>
  <c r="C17" i="5"/>
  <c r="D23" i="5"/>
  <c r="D17" i="5"/>
  <c r="B24" i="5"/>
  <c r="F42" i="3"/>
  <c r="E8" i="3" l="1"/>
  <c r="C16" i="5"/>
  <c r="C10" i="5"/>
  <c r="D16" i="5"/>
  <c r="D10" i="5"/>
  <c r="D24" i="5" l="1"/>
  <c r="D18" i="5"/>
  <c r="C24" i="5"/>
  <c r="C18" i="5"/>
  <c r="G25" i="2" l="1"/>
  <c r="G21" i="2" s="1"/>
  <c r="H25" i="2"/>
  <c r="I25" i="2"/>
  <c r="F25" i="2"/>
  <c r="G23" i="2"/>
  <c r="H23" i="2"/>
  <c r="I23" i="2"/>
  <c r="F23" i="2"/>
  <c r="D14" i="2"/>
  <c r="D16" i="2"/>
  <c r="G16" i="2"/>
  <c r="E16" i="2" s="1"/>
  <c r="H16" i="2"/>
  <c r="H15" i="2" s="1"/>
  <c r="I16" i="2"/>
  <c r="F16" i="2"/>
  <c r="H14" i="2"/>
  <c r="G14" i="2"/>
  <c r="H8" i="2" s="1"/>
  <c r="G8" i="2"/>
  <c r="F14" i="2"/>
  <c r="I26" i="2"/>
  <c r="H26" i="2"/>
  <c r="G26" i="2"/>
  <c r="F26" i="2"/>
  <c r="E26" i="2"/>
  <c r="D26" i="2"/>
  <c r="C26" i="2"/>
  <c r="F21" i="2"/>
  <c r="E23" i="2"/>
  <c r="I15" i="2"/>
  <c r="G15" i="2"/>
  <c r="D15" i="2"/>
  <c r="E25" i="2" l="1"/>
  <c r="E21" i="2" s="1"/>
  <c r="I21" i="2"/>
  <c r="F15" i="2"/>
  <c r="E15" i="2" s="1"/>
  <c r="H21" i="2"/>
  <c r="D43" i="1" l="1"/>
  <c r="D29" i="1" l="1"/>
  <c r="I32" i="1" l="1"/>
  <c r="I33" i="1"/>
  <c r="I39" i="1" l="1"/>
  <c r="J39" i="1"/>
  <c r="I35" i="1"/>
  <c r="J35" i="1"/>
  <c r="I34" i="1"/>
  <c r="J34" i="1"/>
  <c r="I42" i="1"/>
  <c r="I29" i="1"/>
  <c r="I44" i="1"/>
  <c r="I43" i="1"/>
  <c r="J43" i="1"/>
  <c r="I77" i="1"/>
  <c r="H55" i="1" l="1"/>
  <c r="H92" i="1" l="1"/>
  <c r="I30" i="1"/>
  <c r="H30" i="1"/>
  <c r="G30" i="1"/>
  <c r="H44" i="1"/>
  <c r="H42" i="1"/>
  <c r="H35" i="1"/>
  <c r="H34" i="1"/>
  <c r="H32" i="1"/>
  <c r="G54" i="1" l="1"/>
  <c r="G44" i="1"/>
  <c r="G42" i="1"/>
  <c r="F44" i="1" l="1"/>
  <c r="F42" i="1"/>
  <c r="F32" i="1"/>
  <c r="G78" i="1" l="1"/>
  <c r="H78" i="1"/>
  <c r="I78" i="1"/>
  <c r="G97" i="1"/>
  <c r="H97" i="1"/>
  <c r="I97" i="1"/>
  <c r="G98" i="1"/>
  <c r="H98" i="1"/>
  <c r="I98" i="1"/>
  <c r="G75" i="1"/>
  <c r="H75" i="1"/>
  <c r="I75" i="1"/>
  <c r="F78" i="1"/>
  <c r="I100" i="1" l="1"/>
  <c r="I55" i="1"/>
  <c r="I96" i="1"/>
  <c r="H96" i="1"/>
  <c r="H94" i="1" s="1"/>
  <c r="G96" i="1"/>
  <c r="G94" i="1" l="1"/>
  <c r="I94" i="1"/>
  <c r="I101" i="1" s="1"/>
  <c r="I26" i="1"/>
  <c r="G25" i="1"/>
  <c r="G90" i="1" s="1"/>
  <c r="H29" i="1"/>
  <c r="H25" i="1" s="1"/>
  <c r="H90" i="1" s="1"/>
  <c r="I25" i="1"/>
  <c r="I90" i="1" s="1"/>
  <c r="G29" i="1"/>
  <c r="F29" i="1"/>
  <c r="H26" i="1"/>
  <c r="G26" i="1"/>
  <c r="F26" i="1"/>
  <c r="C96" i="1" l="1"/>
  <c r="C94" i="1" s="1"/>
  <c r="D96" i="1"/>
  <c r="D94" i="1" s="1"/>
  <c r="C97" i="1"/>
  <c r="D97" i="1"/>
  <c r="C98" i="1"/>
  <c r="C23" i="2" s="1"/>
  <c r="D98" i="1"/>
  <c r="F96" i="1"/>
  <c r="F94" i="1" s="1"/>
  <c r="F97" i="1"/>
  <c r="F98" i="1"/>
  <c r="C25" i="2" l="1"/>
  <c r="C21" i="2" s="1"/>
  <c r="C16" i="2"/>
  <c r="C15" i="2" s="1"/>
  <c r="C25" i="1"/>
  <c r="C90" i="1" s="1"/>
  <c r="D25" i="1"/>
  <c r="D90" i="1" s="1"/>
  <c r="C30" i="1"/>
  <c r="D30" i="1"/>
  <c r="C75" i="1"/>
  <c r="D75" i="1"/>
  <c r="D100" i="1" s="1"/>
  <c r="D91" i="1" s="1"/>
  <c r="E27" i="1"/>
  <c r="E48" i="1"/>
  <c r="E52" i="1"/>
  <c r="E53" i="1"/>
  <c r="E57" i="1"/>
  <c r="E58" i="1"/>
  <c r="E59" i="1"/>
  <c r="E60" i="1"/>
  <c r="E61" i="1"/>
  <c r="E65" i="1"/>
  <c r="E66" i="1"/>
  <c r="E67" i="1"/>
  <c r="E68" i="1"/>
  <c r="E69" i="1"/>
  <c r="E70" i="1"/>
  <c r="E72" i="1"/>
  <c r="E74" i="1"/>
  <c r="E76" i="1"/>
  <c r="E79" i="1"/>
  <c r="E80" i="1"/>
  <c r="E81" i="1"/>
  <c r="E82" i="1"/>
  <c r="E83" i="1"/>
  <c r="E84" i="1"/>
  <c r="E85" i="1"/>
  <c r="E86" i="1"/>
  <c r="E87" i="1"/>
  <c r="E88" i="1"/>
  <c r="E89" i="1"/>
  <c r="E93" i="1"/>
  <c r="D92" i="1" l="1"/>
  <c r="C55" i="1"/>
  <c r="C100" i="1"/>
  <c r="D101" i="1"/>
  <c r="D55" i="1"/>
  <c r="C101" i="1" l="1"/>
  <c r="C91" i="1"/>
  <c r="C92" i="1" s="1"/>
  <c r="F75" i="1" l="1"/>
  <c r="E77" i="1" l="1"/>
  <c r="E75" i="1" s="1"/>
  <c r="F55" i="1"/>
  <c r="F100" i="1"/>
  <c r="F101" i="1" s="1"/>
  <c r="G100" i="1" l="1"/>
  <c r="G101" i="1" s="1"/>
  <c r="G55" i="1"/>
  <c r="F30" i="1"/>
  <c r="F25" i="1"/>
  <c r="F90" i="1" s="1"/>
  <c r="E28" i="1"/>
  <c r="E35" i="1"/>
  <c r="E51" i="1"/>
  <c r="E63" i="1"/>
  <c r="E71" i="1"/>
  <c r="E44" i="1" l="1"/>
  <c r="E40" i="1"/>
  <c r="E26" i="1"/>
  <c r="E62" i="1"/>
  <c r="E50" i="1"/>
  <c r="E43" i="1"/>
  <c r="E39" i="1"/>
  <c r="E34" i="1"/>
  <c r="E97" i="1" s="1"/>
  <c r="E73" i="1"/>
  <c r="E56" i="1"/>
  <c r="E49" i="1"/>
  <c r="E42" i="1"/>
  <c r="E33" i="1"/>
  <c r="E64" i="1"/>
  <c r="E98" i="1" s="1"/>
  <c r="E54" i="1"/>
  <c r="E47" i="1"/>
  <c r="E41" i="1"/>
  <c r="E36" i="1"/>
  <c r="E32" i="1"/>
  <c r="F91" i="1"/>
  <c r="F92" i="1" s="1"/>
  <c r="E29" i="1"/>
  <c r="E78" i="1" l="1"/>
  <c r="H100" i="1"/>
  <c r="H101" i="1" s="1"/>
  <c r="E96" i="1"/>
  <c r="E94" i="1" s="1"/>
  <c r="E25" i="1"/>
  <c r="E90" i="1" s="1"/>
  <c r="E55" i="1"/>
  <c r="E38" i="1" l="1"/>
  <c r="E30" i="1" s="1"/>
  <c r="G91" i="1"/>
  <c r="G92" i="1" s="1"/>
  <c r="E100" i="1" l="1"/>
  <c r="E91" i="1" s="1"/>
  <c r="H91" i="1"/>
  <c r="I91" i="1"/>
  <c r="I92" i="1" s="1"/>
  <c r="E101" i="1" l="1"/>
  <c r="E14" i="2" l="1"/>
  <c r="E44" i="3" s="1"/>
</calcChain>
</file>

<file path=xl/sharedStrings.xml><?xml version="1.0" encoding="utf-8"?>
<sst xmlns="http://schemas.openxmlformats.org/spreadsheetml/2006/main" count="281" uniqueCount="205">
  <si>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</si>
  <si>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</si>
  <si>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</si>
  <si>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</si>
  <si>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</si>
  <si>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</si>
  <si>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</si>
  <si>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</si>
  <si>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</si>
  <si>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</si>
  <si>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</si>
  <si>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</si>
  <si>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</si>
  <si>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</si>
  <si>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</si>
  <si>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</si>
  <si>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</si>
  <si>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</si>
  <si>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</si>
  <si>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</si>
  <si>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</si>
  <si>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</si>
  <si>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</si>
  <si>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</si>
  <si>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</si>
  <si>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</si>
  <si>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</si>
  <si>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</si>
  <si>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</si>
  <si>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</si>
  <si>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</si>
  <si>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</si>
  <si>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</si>
  <si>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</si>
  <si>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</si>
  <si>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</si>
  <si>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</si>
  <si>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</si>
  <si>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</si>
  <si>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</si>
  <si>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</si>
  <si>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</si>
  <si>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</si>
  <si>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</si>
  <si>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</si>
  <si>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</si>
  <si>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</si>
  <si>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</si>
  <si>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</si>
  <si>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</si>
  <si>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</si>
  <si>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</si>
  <si>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</si>
  <si>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</si>
  <si>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</si>
  <si>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</si>
  <si>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</si>
  <si>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</si>
  <si>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</si>
  <si>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</si>
  <si>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</si>
  <si>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</si>
  <si>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</si>
  <si>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</si>
  <si>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</si>
  <si>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</si>
  <si>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</si>
  <si>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</si>
  <si>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</si>
  <si>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</si>
  <si>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</si>
  <si>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</si>
  <si>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</si>
  <si>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</si>
  <si>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</si>
  <si>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</si>
  <si>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</si>
  <si>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</si>
  <si>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</si>
  <si>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</si>
  <si>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</si>
  <si>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</si>
  <si>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</si>
  <si>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</si>
  <si>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</si>
  <si>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</si>
  <si>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</si>
  <si>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</si>
  <si>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</si>
  <si>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</si>
  <si>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</si>
  <si>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</si>
  <si>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</si>
  <si>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</si>
  <si>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</si>
  <si>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</si>
  <si>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</si>
  <si>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</si>
  <si>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</si>
  <si>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</si>
  <si>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</si>
  <si>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</si>
  <si>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</si>
  <si>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</si>
  <si>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</si>
  <si>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</si>
  <si>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</si>
  <si>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</si>
  <si>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</si>
  <si>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</si>
  <si>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</si>
  <si>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</si>
  <si>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</si>
  <si>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</si>
  <si>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</si>
  <si>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</si>
  <si>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</si>
  <si>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</si>
  <si>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</si>
  <si>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</si>
  <si>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</si>
  <si>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</si>
  <si>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</si>
  <si>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</si>
  <si>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</si>
  <si>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</si>
  <si>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</si>
  <si>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</si>
  <si>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</si>
  <si>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</si>
  <si>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</si>
  <si>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</si>
  <si>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</si>
  <si>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</si>
  <si>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</si>
  <si>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</si>
  <si>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</si>
  <si>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</si>
  <si>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</si>
  <si>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</si>
  <si>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</si>
  <si>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</si>
  <si>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</si>
  <si>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</si>
  <si>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</si>
  <si>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</si>
  <si>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</si>
  <si>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</si>
  <si>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</si>
  <si>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</si>
  <si>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</si>
  <si>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</si>
  <si>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</si>
  <si>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</si>
  <si>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</si>
  <si>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</si>
  <si>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</si>
  <si>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</si>
  <si>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</si>
  <si>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</si>
  <si>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</si>
  <si>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</si>
  <si>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</si>
  <si>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</si>
  <si>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</si>
  <si>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</si>
  <si>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</si>
  <si>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</si>
  <si>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</si>
  <si>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</si>
  <si>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</si>
  <si>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</si>
  <si>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</si>
  <si>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</si>
  <si>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</si>
  <si>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</si>
  <si>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</si>
  <si>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</si>
  <si>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</si>
  <si>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</si>
  <si>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</si>
  <si>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</si>
  <si>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</si>
  <si>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</si>
  <si>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</si>
  <si>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</si>
  <si>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</si>
  <si>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на 2023 рік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</si>
  <si>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</si>
  <si>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</si>
  <si>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</si>
  <si>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</si>
  <si>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</si>
  <si>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</si>
  <si>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</si>
  <si>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</si>
  <si>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</si>
  <si>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t>Відділ охорони здоров'я виконавчого комітету Малинської міської ради</t>
  </si>
  <si>
    <t>перенести програми місцевого бюджету</t>
  </si>
  <si>
    <t>Інші витрати (медичне обладнання та ін.)</t>
  </si>
  <si>
    <t>податок на доходи фізичних осіб(18%)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</si>
  <si>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</si>
  <si>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Інші цілі (нарахування на заробітну плату)</t>
  </si>
  <si>
    <t>49-ї сесії 8-го скликання</t>
  </si>
  <si>
    <t>від 22.12.2023 № 1104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</si>
</sst>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0" borderId="4" xfId="0" applyFont="1" applyFill="1" applyBorder="1" applyAlignment="1"/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3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/>
    <xf numFmtId="164" fontId="5" fillId="0" borderId="3" xfId="0" applyNumberFormat="1" applyFont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11" fillId="0" borderId="0" xfId="0" applyFont="1"/>
    <xf numFmtId="0" fontId="13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5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5" fillId="0" borderId="0" xfId="0" applyFont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view="pageBreakPreview" topLeftCell="A109" zoomScaleNormal="100" zoomScaleSheetLayoutView="100" workbookViewId="0">
      <selection activeCell="F4" sqref="F4:I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" customWidth="1"/>
    <col min="7" max="7" width="8.85546875" style="2"/>
    <col min="8" max="8" width="8.85546875" style="2" customWidth="1"/>
    <col min="9" max="9" width="10.85546875" style="2" customWidth="1"/>
    <col min="10" max="10" width="9.85546875" style="2" bestFit="1" customWidth="1"/>
    <col min="11" max="16384" width="8.85546875" style="2"/>
  </cols>
  <sheetData>
    <row r="1" spans="1:10" s="21" customFormat="1" ht="16.899999999999999" customHeight="1" x14ac:dyDescent="0.25">
      <c r="B1" s="20"/>
      <c r="C1" s="20"/>
      <c r="E1" s="30"/>
      <c r="F1" s="30"/>
      <c r="G1" s="31"/>
      <c r="H1" s="31"/>
      <c r="I1" s="49" t="s">
        <v>177</v>
      </c>
    </row>
    <row r="2" spans="1:10" s="21" customFormat="1" ht="15.6" customHeight="1" x14ac:dyDescent="0.25">
      <c r="E2" s="98" t="s">
        <v>178</v>
      </c>
      <c r="F2" s="98"/>
      <c r="G2" s="98"/>
      <c r="H2" s="98"/>
      <c r="I2" s="98"/>
    </row>
    <row r="3" spans="1:10" s="21" customFormat="1" ht="15" customHeight="1" x14ac:dyDescent="0.25">
      <c r="E3" s="98" t="s">
        <v>203</v>
      </c>
      <c r="F3" s="98"/>
      <c r="G3" s="98"/>
      <c r="H3" s="98"/>
      <c r="I3" s="98"/>
    </row>
    <row r="4" spans="1:10" s="21" customFormat="1" ht="15" customHeight="1" x14ac:dyDescent="0.25">
      <c r="B4" s="20"/>
      <c r="E4" s="30"/>
      <c r="F4" s="98" t="s">
        <v>204</v>
      </c>
      <c r="G4" s="98"/>
      <c r="H4" s="98"/>
      <c r="I4" s="98"/>
    </row>
    <row r="5" spans="1:10" x14ac:dyDescent="0.25">
      <c r="B5" s="2"/>
    </row>
    <row r="6" spans="1:10" x14ac:dyDescent="0.25">
      <c r="A6" s="27"/>
      <c r="B6" s="26"/>
      <c r="C6" s="26"/>
      <c r="D6" s="26"/>
      <c r="E6" s="26"/>
      <c r="F6" s="26"/>
      <c r="G6" s="110" t="s">
        <v>0</v>
      </c>
      <c r="H6" s="110"/>
      <c r="I6" s="111"/>
    </row>
    <row r="7" spans="1:10" ht="33" customHeight="1" x14ac:dyDescent="0.25">
      <c r="A7" s="6" t="s">
        <v>1</v>
      </c>
      <c r="B7" s="104" t="s">
        <v>160</v>
      </c>
      <c r="C7" s="105"/>
      <c r="D7" s="105"/>
      <c r="E7" s="105"/>
      <c r="F7" s="106"/>
      <c r="G7" s="112" t="s">
        <v>2</v>
      </c>
      <c r="H7" s="112"/>
      <c r="I7" s="7">
        <v>39385183</v>
      </c>
    </row>
    <row r="8" spans="1:10" ht="31.9" customHeight="1" x14ac:dyDescent="0.25">
      <c r="A8" s="6" t="s">
        <v>3</v>
      </c>
      <c r="B8" s="104" t="s">
        <v>197</v>
      </c>
      <c r="C8" s="105"/>
      <c r="D8" s="105"/>
      <c r="E8" s="105"/>
      <c r="F8" s="106"/>
      <c r="G8" s="112" t="s">
        <v>4</v>
      </c>
      <c r="H8" s="112"/>
      <c r="I8" s="6"/>
    </row>
    <row r="9" spans="1:10" ht="15.6" customHeight="1" x14ac:dyDescent="0.25">
      <c r="A9" s="6" t="s">
        <v>5</v>
      </c>
      <c r="B9" s="104" t="s">
        <v>174</v>
      </c>
      <c r="C9" s="105"/>
      <c r="D9" s="105"/>
      <c r="E9" s="105"/>
      <c r="F9" s="106"/>
      <c r="G9" s="112" t="s">
        <v>6</v>
      </c>
      <c r="H9" s="112"/>
      <c r="I9" s="8"/>
    </row>
    <row r="10" spans="1:10" ht="18" customHeight="1" x14ac:dyDescent="0.25">
      <c r="A10" s="7" t="s">
        <v>7</v>
      </c>
      <c r="B10" s="104" t="s">
        <v>161</v>
      </c>
      <c r="C10" s="105"/>
      <c r="D10" s="105"/>
      <c r="E10" s="105"/>
      <c r="F10" s="106"/>
      <c r="G10" s="112" t="s">
        <v>8</v>
      </c>
      <c r="H10" s="112"/>
      <c r="I10" s="8"/>
      <c r="J10" s="4"/>
    </row>
    <row r="11" spans="1:10" ht="27.6" customHeight="1" x14ac:dyDescent="0.25">
      <c r="A11" s="6" t="s">
        <v>9</v>
      </c>
      <c r="B11" s="104" t="s">
        <v>180</v>
      </c>
      <c r="C11" s="105"/>
      <c r="D11" s="105"/>
      <c r="E11" s="105"/>
      <c r="F11" s="106"/>
      <c r="G11" s="112" t="s">
        <v>10</v>
      </c>
      <c r="H11" s="112"/>
      <c r="I11" s="3"/>
    </row>
    <row r="12" spans="1:10" ht="13.9" customHeight="1" x14ac:dyDescent="0.25">
      <c r="A12" s="6" t="s">
        <v>11</v>
      </c>
      <c r="B12" s="107"/>
      <c r="C12" s="108"/>
      <c r="D12" s="108"/>
      <c r="E12" s="108"/>
      <c r="F12" s="109"/>
      <c r="G12" s="6"/>
      <c r="H12" s="28"/>
      <c r="I12" s="8"/>
    </row>
    <row r="13" spans="1:10" ht="16.149999999999999" customHeight="1" x14ac:dyDescent="0.25">
      <c r="A13" s="7" t="s">
        <v>12</v>
      </c>
      <c r="B13" s="104" t="s">
        <v>162</v>
      </c>
      <c r="C13" s="105"/>
      <c r="D13" s="105"/>
      <c r="E13" s="105"/>
      <c r="F13" s="106"/>
      <c r="G13" s="5"/>
      <c r="H13" s="5"/>
      <c r="I13" s="8"/>
    </row>
    <row r="14" spans="1:10" x14ac:dyDescent="0.25">
      <c r="A14" s="9"/>
      <c r="G14" s="33"/>
    </row>
    <row r="15" spans="1:10" ht="13.15" customHeight="1" x14ac:dyDescent="0.25">
      <c r="A15" s="101" t="s">
        <v>186</v>
      </c>
      <c r="B15" s="101"/>
      <c r="C15" s="101"/>
      <c r="D15" s="101"/>
      <c r="E15" s="101"/>
      <c r="F15" s="101"/>
      <c r="G15" s="101"/>
      <c r="H15" s="101"/>
      <c r="I15" s="101"/>
    </row>
    <row r="16" spans="1:10" ht="32.450000000000003" customHeight="1" x14ac:dyDescent="0.25">
      <c r="A16" s="103" t="s">
        <v>163</v>
      </c>
      <c r="B16" s="103"/>
      <c r="C16" s="103"/>
      <c r="D16" s="103"/>
      <c r="E16" s="103"/>
      <c r="F16" s="103"/>
      <c r="G16" s="103"/>
      <c r="H16" s="103"/>
      <c r="I16" s="103"/>
    </row>
    <row r="17" spans="1:12" x14ac:dyDescent="0.25">
      <c r="A17" s="101" t="s">
        <v>187</v>
      </c>
      <c r="B17" s="101"/>
      <c r="C17" s="101"/>
      <c r="D17" s="101"/>
      <c r="E17" s="101"/>
      <c r="F17" s="101"/>
      <c r="G17" s="101"/>
      <c r="H17" s="101"/>
      <c r="I17" s="101"/>
    </row>
    <row r="18" spans="1:12" x14ac:dyDescent="0.25">
      <c r="A18" s="10"/>
      <c r="F18" s="10"/>
      <c r="G18" s="1"/>
      <c r="I18" s="10" t="s">
        <v>13</v>
      </c>
    </row>
    <row r="19" spans="1:12" x14ac:dyDescent="0.25">
      <c r="A19" s="101" t="s">
        <v>14</v>
      </c>
      <c r="B19" s="101"/>
      <c r="C19" s="101"/>
      <c r="D19" s="101"/>
      <c r="E19" s="101"/>
      <c r="F19" s="101"/>
      <c r="G19" s="101"/>
      <c r="H19" s="101"/>
      <c r="I19" s="101"/>
    </row>
    <row r="20" spans="1:12" x14ac:dyDescent="0.25">
      <c r="G20" s="1"/>
    </row>
    <row r="21" spans="1:12" s="4" customFormat="1" ht="26.45" customHeight="1" x14ac:dyDescent="0.25">
      <c r="A21" s="100" t="s">
        <v>15</v>
      </c>
      <c r="B21" s="100" t="s">
        <v>89</v>
      </c>
      <c r="C21" s="100" t="s">
        <v>189</v>
      </c>
      <c r="D21" s="100" t="s">
        <v>188</v>
      </c>
      <c r="E21" s="100" t="s">
        <v>190</v>
      </c>
      <c r="F21" s="100" t="s">
        <v>181</v>
      </c>
      <c r="G21" s="100"/>
      <c r="H21" s="100"/>
      <c r="I21" s="100"/>
      <c r="J21" s="1"/>
    </row>
    <row r="22" spans="1:12" s="4" customFormat="1" ht="25.15" customHeight="1" x14ac:dyDescent="0.25">
      <c r="A22" s="100"/>
      <c r="B22" s="100"/>
      <c r="C22" s="100"/>
      <c r="D22" s="100"/>
      <c r="E22" s="100"/>
      <c r="F22" s="43" t="s">
        <v>182</v>
      </c>
      <c r="G22" s="43" t="s">
        <v>183</v>
      </c>
      <c r="H22" s="43" t="s">
        <v>184</v>
      </c>
      <c r="I22" s="43" t="s">
        <v>185</v>
      </c>
      <c r="J22" s="1"/>
    </row>
    <row r="23" spans="1:12" s="4" customFormat="1" x14ac:dyDescent="0.25">
      <c r="A23" s="43">
        <v>1</v>
      </c>
      <c r="B23" s="43">
        <v>2</v>
      </c>
      <c r="C23" s="43">
        <v>3</v>
      </c>
      <c r="D23" s="43">
        <v>4</v>
      </c>
      <c r="E23" s="43">
        <v>5</v>
      </c>
      <c r="F23" s="43">
        <v>6</v>
      </c>
      <c r="G23" s="43">
        <v>7</v>
      </c>
      <c r="H23" s="43">
        <v>8</v>
      </c>
      <c r="I23" s="43">
        <v>9</v>
      </c>
      <c r="J23" s="1"/>
    </row>
    <row r="24" spans="1:12" x14ac:dyDescent="0.25">
      <c r="A24" s="7" t="s">
        <v>16</v>
      </c>
      <c r="B24" s="41"/>
      <c r="C24" s="86"/>
      <c r="D24" s="41"/>
      <c r="E24" s="41"/>
      <c r="F24" s="3"/>
      <c r="G24" s="3"/>
      <c r="H24" s="3"/>
      <c r="I24" s="3"/>
      <c r="J24" s="1"/>
    </row>
    <row r="25" spans="1:12" ht="30.6" customHeight="1" x14ac:dyDescent="0.25">
      <c r="A25" s="7" t="s">
        <v>17</v>
      </c>
      <c r="B25" s="11">
        <v>100</v>
      </c>
      <c r="C25" s="22">
        <f>SUM(C26:C29)</f>
        <v>24518.2</v>
      </c>
      <c r="D25" s="22">
        <f t="shared" ref="D25" si="0">SUM(D26:D29)</f>
        <v>26067.800000000003</v>
      </c>
      <c r="E25" s="22">
        <f>SUM(E26:E29)</f>
        <v>26661.599999999999</v>
      </c>
      <c r="F25" s="7">
        <f>SUM(F26:F29)</f>
        <v>7118.8</v>
      </c>
      <c r="G25" s="7">
        <f>SUM(G26:G29)</f>
        <v>6223.9</v>
      </c>
      <c r="H25" s="7">
        <f t="shared" ref="H25:I25" si="1">SUM(H26:H29)</f>
        <v>6369.8</v>
      </c>
      <c r="I25" s="24">
        <f t="shared" si="1"/>
        <v>6949.1</v>
      </c>
      <c r="J25" s="1"/>
    </row>
    <row r="26" spans="1:12" x14ac:dyDescent="0.25">
      <c r="A26" s="12" t="s">
        <v>18</v>
      </c>
      <c r="B26" s="41">
        <v>101</v>
      </c>
      <c r="C26" s="23">
        <f>2082+609.2</f>
        <v>2691.2</v>
      </c>
      <c r="D26" s="23">
        <v>2167.9</v>
      </c>
      <c r="E26" s="23">
        <f t="shared" ref="E26:E89" si="2">SUM(F26:I26)</f>
        <v>3883.6</v>
      </c>
      <c r="F26" s="3">
        <f>150+1030.3</f>
        <v>1180.3</v>
      </c>
      <c r="G26" s="3">
        <f>557.4+270</f>
        <v>827.4</v>
      </c>
      <c r="H26" s="13">
        <f>200+504.3</f>
        <v>704.3</v>
      </c>
      <c r="I26" s="23">
        <f>1001+170.6</f>
        <v>1171.5999999999999</v>
      </c>
      <c r="J26" s="1"/>
    </row>
    <row r="27" spans="1:12" x14ac:dyDescent="0.25">
      <c r="A27" s="12" t="s">
        <v>19</v>
      </c>
      <c r="B27" s="41">
        <v>102</v>
      </c>
      <c r="C27" s="23"/>
      <c r="D27" s="23"/>
      <c r="E27" s="23">
        <f t="shared" si="2"/>
        <v>0</v>
      </c>
      <c r="F27" s="3"/>
      <c r="G27" s="3"/>
      <c r="H27" s="13"/>
      <c r="I27" s="23"/>
      <c r="J27" s="1"/>
    </row>
    <row r="28" spans="1:12" x14ac:dyDescent="0.25">
      <c r="A28" s="12" t="s">
        <v>20</v>
      </c>
      <c r="B28" s="41">
        <v>103</v>
      </c>
      <c r="C28" s="23">
        <v>20120.5</v>
      </c>
      <c r="D28" s="23">
        <v>21221.3</v>
      </c>
      <c r="E28" s="23">
        <f t="shared" si="2"/>
        <v>22616</v>
      </c>
      <c r="F28" s="3">
        <v>5898</v>
      </c>
      <c r="G28" s="3">
        <v>5356</v>
      </c>
      <c r="H28" s="13">
        <v>5625</v>
      </c>
      <c r="I28" s="23">
        <v>5737</v>
      </c>
      <c r="J28" s="1"/>
    </row>
    <row r="29" spans="1:12" x14ac:dyDescent="0.25">
      <c r="A29" s="12" t="s">
        <v>21</v>
      </c>
      <c r="B29" s="41">
        <v>104</v>
      </c>
      <c r="C29" s="23">
        <v>1706.5</v>
      </c>
      <c r="D29" s="23">
        <f>23899.9-D28</f>
        <v>2678.6000000000022</v>
      </c>
      <c r="E29" s="23">
        <f t="shared" si="2"/>
        <v>162</v>
      </c>
      <c r="F29" s="3">
        <f>31.5+9</f>
        <v>40.5</v>
      </c>
      <c r="G29" s="3">
        <f>31.5+9</f>
        <v>40.5</v>
      </c>
      <c r="H29" s="3">
        <f>31.5+9</f>
        <v>40.5</v>
      </c>
      <c r="I29" s="3">
        <f>31.5+9</f>
        <v>40.5</v>
      </c>
      <c r="J29" s="1"/>
    </row>
    <row r="30" spans="1:12" ht="29.45" customHeight="1" x14ac:dyDescent="0.25">
      <c r="A30" s="7" t="s">
        <v>22</v>
      </c>
      <c r="B30" s="11">
        <v>200</v>
      </c>
      <c r="C30" s="22">
        <f t="shared" ref="C30:D30" si="3">SUM(C31:C54)</f>
        <v>20124.599999999999</v>
      </c>
      <c r="D30" s="22">
        <f t="shared" si="3"/>
        <v>21941.8</v>
      </c>
      <c r="E30" s="22">
        <f>SUM(E31:E54)</f>
        <v>20957.2</v>
      </c>
      <c r="F30" s="7">
        <f>SUM(F31:F54)</f>
        <v>5986.0999999999995</v>
      </c>
      <c r="G30" s="7">
        <f>SUM(G31:G54)</f>
        <v>4651.9999999999991</v>
      </c>
      <c r="H30" s="7">
        <f>SUM(H31:H54)</f>
        <v>4529.8999999999996</v>
      </c>
      <c r="I30" s="7">
        <f>SUM(I31:I54)</f>
        <v>5789.2000000000007</v>
      </c>
      <c r="J30" s="1"/>
    </row>
    <row r="31" spans="1:12" ht="22.15" customHeight="1" x14ac:dyDescent="0.25">
      <c r="A31" s="3" t="s">
        <v>23</v>
      </c>
      <c r="B31" s="34">
        <v>201</v>
      </c>
      <c r="C31" s="23"/>
      <c r="D31" s="23"/>
      <c r="E31" s="23"/>
      <c r="F31" s="47"/>
      <c r="G31" s="47"/>
      <c r="H31" s="36"/>
      <c r="I31" s="23"/>
      <c r="J31" s="1"/>
    </row>
    <row r="32" spans="1:12" ht="15" customHeight="1" x14ac:dyDescent="0.25">
      <c r="A32" s="3" t="s">
        <v>24</v>
      </c>
      <c r="B32" s="34">
        <v>202</v>
      </c>
      <c r="C32" s="23">
        <v>189.7</v>
      </c>
      <c r="D32" s="23">
        <v>138</v>
      </c>
      <c r="E32" s="23">
        <f t="shared" si="2"/>
        <v>410.2</v>
      </c>
      <c r="F32" s="47">
        <f>50</f>
        <v>50</v>
      </c>
      <c r="G32" s="47">
        <v>70</v>
      </c>
      <c r="H32" s="48">
        <f>30+60+20</f>
        <v>110</v>
      </c>
      <c r="I32" s="23">
        <f>60+40+80+0.2</f>
        <v>180.2</v>
      </c>
      <c r="J32" s="1">
        <v>80.2</v>
      </c>
      <c r="L32" s="2" t="s">
        <v>172</v>
      </c>
    </row>
    <row r="33" spans="1:12" x14ac:dyDescent="0.25">
      <c r="A33" s="3" t="s">
        <v>25</v>
      </c>
      <c r="B33" s="34">
        <v>203</v>
      </c>
      <c r="C33" s="23">
        <v>247.7</v>
      </c>
      <c r="D33" s="23">
        <v>280.3</v>
      </c>
      <c r="E33" s="23">
        <f t="shared" si="2"/>
        <v>504.7</v>
      </c>
      <c r="F33" s="47">
        <v>126.2</v>
      </c>
      <c r="G33" s="47">
        <v>126.2</v>
      </c>
      <c r="H33" s="48">
        <v>126.1</v>
      </c>
      <c r="I33" s="23">
        <f>126.2</f>
        <v>126.2</v>
      </c>
      <c r="J33" s="1"/>
    </row>
    <row r="34" spans="1:12" x14ac:dyDescent="0.25">
      <c r="A34" s="3" t="s">
        <v>26</v>
      </c>
      <c r="B34" s="34">
        <v>204</v>
      </c>
      <c r="C34" s="23">
        <v>14628</v>
      </c>
      <c r="D34" s="23">
        <v>15271.7</v>
      </c>
      <c r="E34" s="23">
        <f t="shared" si="2"/>
        <v>14286</v>
      </c>
      <c r="F34" s="47">
        <v>4128.2</v>
      </c>
      <c r="G34" s="47">
        <v>3122.9</v>
      </c>
      <c r="H34" s="48">
        <f>3998.2-H63</f>
        <v>3122.8999999999996</v>
      </c>
      <c r="I34" s="23">
        <f>3512+350+50</f>
        <v>3912</v>
      </c>
      <c r="J34" s="1">
        <f>350+50</f>
        <v>400</v>
      </c>
    </row>
    <row r="35" spans="1:12" x14ac:dyDescent="0.25">
      <c r="A35" s="3" t="s">
        <v>27</v>
      </c>
      <c r="B35" s="34">
        <v>205</v>
      </c>
      <c r="C35" s="23">
        <v>2813.2</v>
      </c>
      <c r="D35" s="23">
        <v>2921.4</v>
      </c>
      <c r="E35" s="23">
        <f t="shared" si="2"/>
        <v>3154.7999999999997</v>
      </c>
      <c r="F35" s="47">
        <v>908.2</v>
      </c>
      <c r="G35" s="47">
        <v>687</v>
      </c>
      <c r="H35" s="48">
        <f>857.4-H64</f>
        <v>687</v>
      </c>
      <c r="I35" s="23">
        <f>772.6+80+20</f>
        <v>872.6</v>
      </c>
      <c r="J35" s="1">
        <f>80+20</f>
        <v>100</v>
      </c>
    </row>
    <row r="36" spans="1:12" ht="52.9" customHeight="1" x14ac:dyDescent="0.25">
      <c r="A36" s="3" t="s">
        <v>28</v>
      </c>
      <c r="B36" s="34">
        <v>206</v>
      </c>
      <c r="C36" s="23">
        <v>147.5</v>
      </c>
      <c r="D36" s="23">
        <v>474.8</v>
      </c>
      <c r="E36" s="23">
        <f t="shared" si="2"/>
        <v>20.5</v>
      </c>
      <c r="F36" s="47">
        <v>2.5</v>
      </c>
      <c r="G36" s="47">
        <v>6</v>
      </c>
      <c r="H36" s="48">
        <v>6</v>
      </c>
      <c r="I36" s="23">
        <v>6</v>
      </c>
      <c r="J36" s="1"/>
    </row>
    <row r="37" spans="1:12" ht="33" customHeight="1" x14ac:dyDescent="0.25">
      <c r="A37" s="3" t="s">
        <v>29</v>
      </c>
      <c r="B37" s="34">
        <v>207</v>
      </c>
      <c r="C37" s="23"/>
      <c r="D37" s="23"/>
      <c r="E37" s="23"/>
      <c r="F37" s="47"/>
      <c r="G37" s="47"/>
      <c r="H37" s="36"/>
      <c r="I37" s="23"/>
      <c r="J37" s="1"/>
    </row>
    <row r="38" spans="1:12" x14ac:dyDescent="0.25">
      <c r="A38" s="3" t="s">
        <v>30</v>
      </c>
      <c r="B38" s="34">
        <v>208</v>
      </c>
      <c r="C38" s="23">
        <f>39.8+19.4</f>
        <v>59.199999999999996</v>
      </c>
      <c r="D38" s="23">
        <v>76.099999999999994</v>
      </c>
      <c r="E38" s="23">
        <f t="shared" si="2"/>
        <v>2</v>
      </c>
      <c r="F38" s="47">
        <v>1</v>
      </c>
      <c r="G38" s="47">
        <v>0</v>
      </c>
      <c r="H38" s="48">
        <v>0</v>
      </c>
      <c r="I38" s="23">
        <v>1</v>
      </c>
      <c r="J38" s="1"/>
      <c r="K38" s="2" t="s">
        <v>198</v>
      </c>
    </row>
    <row r="39" spans="1:12" x14ac:dyDescent="0.25">
      <c r="A39" s="3" t="s">
        <v>31</v>
      </c>
      <c r="B39" s="34">
        <v>209</v>
      </c>
      <c r="C39" s="23">
        <v>281.10000000000002</v>
      </c>
      <c r="D39" s="23">
        <v>492</v>
      </c>
      <c r="E39" s="23">
        <f t="shared" si="2"/>
        <v>612.5</v>
      </c>
      <c r="F39" s="47">
        <v>351</v>
      </c>
      <c r="G39" s="47">
        <v>0</v>
      </c>
      <c r="H39" s="48">
        <v>0</v>
      </c>
      <c r="I39" s="23">
        <f>351.5-20-70</f>
        <v>261.5</v>
      </c>
      <c r="J39" s="1">
        <f>-20-70</f>
        <v>-90</v>
      </c>
    </row>
    <row r="40" spans="1:12" x14ac:dyDescent="0.25">
      <c r="A40" s="3" t="s">
        <v>32</v>
      </c>
      <c r="B40" s="34">
        <v>210</v>
      </c>
      <c r="C40" s="23">
        <v>169.4</v>
      </c>
      <c r="D40" s="23">
        <v>192.4</v>
      </c>
      <c r="E40" s="23">
        <f t="shared" si="2"/>
        <v>241</v>
      </c>
      <c r="F40" s="47">
        <v>60.3</v>
      </c>
      <c r="G40" s="47">
        <v>60.2</v>
      </c>
      <c r="H40" s="48">
        <v>60.2</v>
      </c>
      <c r="I40" s="23">
        <v>60.3</v>
      </c>
      <c r="J40" s="1"/>
    </row>
    <row r="41" spans="1:12" x14ac:dyDescent="0.25">
      <c r="A41" s="3" t="s">
        <v>33</v>
      </c>
      <c r="B41" s="34">
        <v>211</v>
      </c>
      <c r="C41" s="23">
        <v>8.3000000000000007</v>
      </c>
      <c r="D41" s="23">
        <v>54</v>
      </c>
      <c r="E41" s="23">
        <f t="shared" si="2"/>
        <v>44.7</v>
      </c>
      <c r="F41" s="47">
        <v>11.2</v>
      </c>
      <c r="G41" s="47">
        <v>11.1</v>
      </c>
      <c r="H41" s="48">
        <v>11.2</v>
      </c>
      <c r="I41" s="23">
        <v>11.2</v>
      </c>
      <c r="J41" s="1"/>
    </row>
    <row r="42" spans="1:12" x14ac:dyDescent="0.25">
      <c r="A42" s="3" t="s">
        <v>34</v>
      </c>
      <c r="B42" s="34">
        <v>212</v>
      </c>
      <c r="C42" s="23">
        <v>77</v>
      </c>
      <c r="D42" s="23">
        <v>363</v>
      </c>
      <c r="E42" s="23">
        <f t="shared" si="2"/>
        <v>540.6</v>
      </c>
      <c r="F42" s="47">
        <f>162-F51</f>
        <v>160.80000000000001</v>
      </c>
      <c r="G42" s="47">
        <f>162</f>
        <v>162</v>
      </c>
      <c r="H42" s="48">
        <f>162-H51</f>
        <v>160</v>
      </c>
      <c r="I42" s="23">
        <f>161.6-I51-100</f>
        <v>57.799999999999983</v>
      </c>
      <c r="J42" s="1">
        <v>-100</v>
      </c>
    </row>
    <row r="43" spans="1:12" ht="22.15" customHeight="1" x14ac:dyDescent="0.25">
      <c r="A43" s="3" t="s">
        <v>35</v>
      </c>
      <c r="B43" s="34">
        <v>213</v>
      </c>
      <c r="C43" s="23">
        <v>249.9</v>
      </c>
      <c r="D43" s="23">
        <f>261.1</f>
        <v>261.10000000000002</v>
      </c>
      <c r="E43" s="23">
        <f t="shared" si="2"/>
        <v>244</v>
      </c>
      <c r="F43" s="47">
        <v>20</v>
      </c>
      <c r="G43" s="47">
        <v>50</v>
      </c>
      <c r="H43" s="48">
        <v>55</v>
      </c>
      <c r="I43" s="23">
        <f>25+19+75</f>
        <v>119</v>
      </c>
      <c r="J43" s="2">
        <f>36+25+15</f>
        <v>76</v>
      </c>
      <c r="L43" s="44" t="s">
        <v>175</v>
      </c>
    </row>
    <row r="44" spans="1:12" ht="33.6" customHeight="1" x14ac:dyDescent="0.25">
      <c r="A44" s="3" t="s">
        <v>36</v>
      </c>
      <c r="B44" s="34">
        <v>214</v>
      </c>
      <c r="C44" s="23">
        <v>1094.5999999999999</v>
      </c>
      <c r="D44" s="23">
        <v>1196.5999999999999</v>
      </c>
      <c r="E44" s="23">
        <f t="shared" si="2"/>
        <v>810.6</v>
      </c>
      <c r="F44" s="47">
        <f>10+150</f>
        <v>160</v>
      </c>
      <c r="G44" s="47">
        <f>35+270</f>
        <v>305</v>
      </c>
      <c r="H44" s="48">
        <f>30+200-30-20</f>
        <v>180</v>
      </c>
      <c r="I44" s="23">
        <f>35+130.6</f>
        <v>165.6</v>
      </c>
      <c r="J44" s="2">
        <v>10</v>
      </c>
      <c r="L44" s="2" t="s">
        <v>170</v>
      </c>
    </row>
    <row r="45" spans="1:12" x14ac:dyDescent="0.25">
      <c r="A45" s="3" t="s">
        <v>37</v>
      </c>
      <c r="B45" s="34">
        <v>215</v>
      </c>
      <c r="C45" s="23"/>
      <c r="D45" s="23"/>
      <c r="E45" s="23"/>
      <c r="F45" s="47"/>
      <c r="G45" s="47"/>
      <c r="H45" s="36"/>
      <c r="I45" s="23"/>
    </row>
    <row r="46" spans="1:12" x14ac:dyDescent="0.25">
      <c r="A46" s="3" t="s">
        <v>38</v>
      </c>
      <c r="B46" s="34">
        <v>216</v>
      </c>
      <c r="C46" s="23"/>
      <c r="D46" s="23"/>
      <c r="E46" s="23"/>
      <c r="F46" s="47"/>
      <c r="G46" s="47"/>
      <c r="H46" s="36"/>
      <c r="I46" s="23"/>
    </row>
    <row r="47" spans="1:12" x14ac:dyDescent="0.25">
      <c r="A47" s="3" t="s">
        <v>39</v>
      </c>
      <c r="B47" s="34">
        <v>217</v>
      </c>
      <c r="C47" s="23">
        <v>3.1</v>
      </c>
      <c r="D47" s="23">
        <v>6.1</v>
      </c>
      <c r="E47" s="23">
        <f t="shared" si="2"/>
        <v>12</v>
      </c>
      <c r="F47" s="47">
        <v>1</v>
      </c>
      <c r="G47" s="47">
        <v>0</v>
      </c>
      <c r="H47" s="48">
        <v>4</v>
      </c>
      <c r="I47" s="23">
        <v>7</v>
      </c>
      <c r="L47" s="2" t="s">
        <v>194</v>
      </c>
    </row>
    <row r="48" spans="1:12" ht="51.6" customHeight="1" x14ac:dyDescent="0.25">
      <c r="A48" s="3" t="s">
        <v>40</v>
      </c>
      <c r="B48" s="34">
        <v>218</v>
      </c>
      <c r="C48" s="23"/>
      <c r="D48" s="23"/>
      <c r="E48" s="23">
        <f t="shared" si="2"/>
        <v>0</v>
      </c>
      <c r="F48" s="47"/>
      <c r="G48" s="47"/>
      <c r="H48" s="36"/>
      <c r="I48" s="23"/>
    </row>
    <row r="49" spans="1:14" x14ac:dyDescent="0.25">
      <c r="A49" s="3" t="s">
        <v>41</v>
      </c>
      <c r="B49" s="34">
        <v>219</v>
      </c>
      <c r="C49" s="23">
        <v>22.7</v>
      </c>
      <c r="D49" s="23">
        <v>25</v>
      </c>
      <c r="E49" s="23">
        <f t="shared" si="2"/>
        <v>16</v>
      </c>
      <c r="F49" s="47">
        <v>3</v>
      </c>
      <c r="G49" s="47">
        <v>4</v>
      </c>
      <c r="H49" s="48">
        <v>4</v>
      </c>
      <c r="I49" s="23">
        <v>5</v>
      </c>
    </row>
    <row r="50" spans="1:14" x14ac:dyDescent="0.25">
      <c r="A50" s="3" t="s">
        <v>42</v>
      </c>
      <c r="B50" s="34">
        <v>220</v>
      </c>
      <c r="C50" s="23"/>
      <c r="D50" s="23"/>
      <c r="E50" s="23">
        <f t="shared" si="2"/>
        <v>9.5</v>
      </c>
      <c r="F50" s="47">
        <v>0</v>
      </c>
      <c r="G50" s="47">
        <v>9.5</v>
      </c>
      <c r="H50" s="48">
        <v>0</v>
      </c>
      <c r="I50" s="23"/>
    </row>
    <row r="51" spans="1:14" x14ac:dyDescent="0.25">
      <c r="A51" s="3" t="s">
        <v>43</v>
      </c>
      <c r="B51" s="34">
        <v>221</v>
      </c>
      <c r="C51" s="23">
        <v>5.4</v>
      </c>
      <c r="D51" s="23">
        <v>5.4</v>
      </c>
      <c r="E51" s="23">
        <f t="shared" si="2"/>
        <v>8.1999999999999993</v>
      </c>
      <c r="F51" s="47">
        <v>1.2</v>
      </c>
      <c r="G51" s="47">
        <v>1.2</v>
      </c>
      <c r="H51" s="48">
        <v>2</v>
      </c>
      <c r="I51" s="23">
        <v>3.8</v>
      </c>
    </row>
    <row r="52" spans="1:14" ht="19.899999999999999" customHeight="1" x14ac:dyDescent="0.25">
      <c r="A52" s="3" t="s">
        <v>44</v>
      </c>
      <c r="B52" s="34">
        <v>222</v>
      </c>
      <c r="C52" s="23"/>
      <c r="D52" s="23"/>
      <c r="E52" s="23">
        <f t="shared" si="2"/>
        <v>0</v>
      </c>
      <c r="F52" s="47"/>
      <c r="G52" s="47"/>
      <c r="H52" s="36"/>
      <c r="I52" s="23"/>
    </row>
    <row r="53" spans="1:14" ht="19.149999999999999" customHeight="1" x14ac:dyDescent="0.25">
      <c r="A53" s="3" t="s">
        <v>45</v>
      </c>
      <c r="B53" s="34">
        <v>223</v>
      </c>
      <c r="C53" s="23"/>
      <c r="D53" s="23"/>
      <c r="E53" s="23">
        <f t="shared" si="2"/>
        <v>0</v>
      </c>
      <c r="F53" s="47"/>
      <c r="G53" s="47"/>
      <c r="H53" s="36"/>
      <c r="I53" s="23"/>
    </row>
    <row r="54" spans="1:14" ht="18.600000000000001" customHeight="1" x14ac:dyDescent="0.25">
      <c r="A54" s="3" t="s">
        <v>46</v>
      </c>
      <c r="B54" s="34">
        <v>224</v>
      </c>
      <c r="C54" s="23">
        <v>127.8</v>
      </c>
      <c r="D54" s="23">
        <v>183.9</v>
      </c>
      <c r="E54" s="23">
        <f t="shared" si="2"/>
        <v>39.9</v>
      </c>
      <c r="F54" s="47">
        <v>1.5</v>
      </c>
      <c r="G54" s="47">
        <f>46-9.5+0.4</f>
        <v>36.9</v>
      </c>
      <c r="H54" s="48">
        <v>1.5</v>
      </c>
      <c r="I54" s="23">
        <v>0</v>
      </c>
      <c r="L54" s="2" t="s">
        <v>173</v>
      </c>
      <c r="N54" s="2" t="s">
        <v>196</v>
      </c>
    </row>
    <row r="55" spans="1:14" ht="15" customHeight="1" x14ac:dyDescent="0.25">
      <c r="A55" s="7" t="s">
        <v>47</v>
      </c>
      <c r="B55" s="11">
        <v>300</v>
      </c>
      <c r="C55" s="24">
        <f t="shared" ref="C55:D55" si="4">SUM(C56:C77)</f>
        <v>3640.9</v>
      </c>
      <c r="D55" s="24">
        <f t="shared" si="4"/>
        <v>4006.8</v>
      </c>
      <c r="E55" s="24">
        <f>SUM(E56:E77)</f>
        <v>4599.7999999999993</v>
      </c>
      <c r="F55" s="7">
        <f>SUM(F56:F77)</f>
        <v>1124.7999999999997</v>
      </c>
      <c r="G55" s="7">
        <f>SUM(G56:G77)</f>
        <v>1149.9000000000001</v>
      </c>
      <c r="H55" s="7">
        <f t="shared" ref="H55:I55" si="5">SUM(H56:H77)</f>
        <v>1122.9999999999998</v>
      </c>
      <c r="I55" s="7">
        <f t="shared" si="5"/>
        <v>1202.1000000000001</v>
      </c>
    </row>
    <row r="56" spans="1:14" ht="33" customHeight="1" x14ac:dyDescent="0.25">
      <c r="A56" s="3" t="s">
        <v>48</v>
      </c>
      <c r="B56" s="34">
        <v>301</v>
      </c>
      <c r="C56" s="23">
        <v>43.1</v>
      </c>
      <c r="D56" s="23">
        <v>43.5</v>
      </c>
      <c r="E56" s="23">
        <f t="shared" si="2"/>
        <v>23</v>
      </c>
      <c r="F56" s="47">
        <v>2</v>
      </c>
      <c r="G56" s="47">
        <v>7</v>
      </c>
      <c r="H56" s="48">
        <v>7</v>
      </c>
      <c r="I56" s="23">
        <v>7</v>
      </c>
    </row>
    <row r="57" spans="1:14" ht="15" customHeight="1" x14ac:dyDescent="0.25">
      <c r="A57" s="3" t="s">
        <v>49</v>
      </c>
      <c r="B57" s="34">
        <v>302</v>
      </c>
      <c r="C57" s="23"/>
      <c r="D57" s="23"/>
      <c r="E57" s="23">
        <f t="shared" si="2"/>
        <v>0</v>
      </c>
      <c r="F57" s="47"/>
      <c r="G57" s="47"/>
      <c r="H57" s="48"/>
      <c r="I57" s="23"/>
    </row>
    <row r="58" spans="1:14" x14ac:dyDescent="0.25">
      <c r="A58" s="3" t="s">
        <v>50</v>
      </c>
      <c r="B58" s="34">
        <v>303</v>
      </c>
      <c r="C58" s="23"/>
      <c r="D58" s="23"/>
      <c r="E58" s="23">
        <f t="shared" si="2"/>
        <v>0</v>
      </c>
      <c r="F58" s="47"/>
      <c r="G58" s="47"/>
      <c r="H58" s="48"/>
      <c r="I58" s="23"/>
    </row>
    <row r="59" spans="1:14" x14ac:dyDescent="0.25">
      <c r="A59" s="3" t="s">
        <v>51</v>
      </c>
      <c r="B59" s="34">
        <v>304</v>
      </c>
      <c r="C59" s="23"/>
      <c r="D59" s="23"/>
      <c r="E59" s="23">
        <f t="shared" si="2"/>
        <v>0</v>
      </c>
      <c r="F59" s="47"/>
      <c r="G59" s="47"/>
      <c r="H59" s="48"/>
      <c r="I59" s="23"/>
      <c r="L59" s="2" t="s">
        <v>193</v>
      </c>
    </row>
    <row r="60" spans="1:14" x14ac:dyDescent="0.25">
      <c r="A60" s="3" t="s">
        <v>52</v>
      </c>
      <c r="B60" s="34">
        <v>305</v>
      </c>
      <c r="C60" s="23"/>
      <c r="D60" s="23"/>
      <c r="E60" s="23">
        <f t="shared" si="2"/>
        <v>0</v>
      </c>
      <c r="F60" s="47"/>
      <c r="G60" s="47"/>
      <c r="H60" s="48"/>
      <c r="I60" s="23"/>
    </row>
    <row r="61" spans="1:14" x14ac:dyDescent="0.25">
      <c r="A61" s="3" t="s">
        <v>53</v>
      </c>
      <c r="B61" s="34">
        <v>306</v>
      </c>
      <c r="C61" s="23"/>
      <c r="D61" s="23"/>
      <c r="E61" s="23">
        <f t="shared" si="2"/>
        <v>0</v>
      </c>
      <c r="F61" s="47"/>
      <c r="G61" s="47"/>
      <c r="H61" s="48"/>
      <c r="I61" s="23"/>
    </row>
    <row r="62" spans="1:14" x14ac:dyDescent="0.25">
      <c r="A62" s="3" t="s">
        <v>54</v>
      </c>
      <c r="B62" s="34">
        <v>307</v>
      </c>
      <c r="C62" s="23">
        <v>48.6</v>
      </c>
      <c r="D62" s="23">
        <v>51</v>
      </c>
      <c r="E62" s="23">
        <f t="shared" si="2"/>
        <v>51.9</v>
      </c>
      <c r="F62" s="47">
        <v>12.9</v>
      </c>
      <c r="G62" s="47">
        <v>12</v>
      </c>
      <c r="H62" s="48">
        <v>12</v>
      </c>
      <c r="I62" s="23">
        <v>15</v>
      </c>
    </row>
    <row r="63" spans="1:14" x14ac:dyDescent="0.25">
      <c r="A63" s="3" t="s">
        <v>55</v>
      </c>
      <c r="B63" s="34">
        <v>308</v>
      </c>
      <c r="C63" s="23">
        <v>2796.5</v>
      </c>
      <c r="D63" s="23">
        <v>3132.7</v>
      </c>
      <c r="E63" s="23">
        <f t="shared" si="2"/>
        <v>3501.2</v>
      </c>
      <c r="F63" s="47">
        <v>875.3</v>
      </c>
      <c r="G63" s="47">
        <v>875.3</v>
      </c>
      <c r="H63" s="48">
        <v>875.3</v>
      </c>
      <c r="I63" s="23">
        <v>875.3</v>
      </c>
    </row>
    <row r="64" spans="1:14" x14ac:dyDescent="0.25">
      <c r="A64" s="3" t="s">
        <v>56</v>
      </c>
      <c r="B64" s="34">
        <v>309</v>
      </c>
      <c r="C64" s="23">
        <v>587.29999999999995</v>
      </c>
      <c r="D64" s="23">
        <v>658.4</v>
      </c>
      <c r="E64" s="23">
        <f t="shared" si="2"/>
        <v>681.6</v>
      </c>
      <c r="F64" s="47">
        <v>170.4</v>
      </c>
      <c r="G64" s="47">
        <v>170.4</v>
      </c>
      <c r="H64" s="48">
        <v>170.4</v>
      </c>
      <c r="I64" s="3">
        <v>170.4</v>
      </c>
    </row>
    <row r="65" spans="1:13" ht="34.9" customHeight="1" x14ac:dyDescent="0.25">
      <c r="A65" s="3" t="s">
        <v>57</v>
      </c>
      <c r="B65" s="34">
        <v>310</v>
      </c>
      <c r="C65" s="23"/>
      <c r="D65" s="23"/>
      <c r="E65" s="23">
        <f t="shared" si="2"/>
        <v>0</v>
      </c>
      <c r="F65" s="47"/>
      <c r="G65" s="47"/>
      <c r="H65" s="36"/>
      <c r="I65" s="23"/>
    </row>
    <row r="66" spans="1:13" ht="51" customHeight="1" x14ac:dyDescent="0.25">
      <c r="A66" s="3" t="s">
        <v>58</v>
      </c>
      <c r="B66" s="34">
        <v>311</v>
      </c>
      <c r="C66" s="23"/>
      <c r="D66" s="23"/>
      <c r="E66" s="23">
        <f t="shared" si="2"/>
        <v>0</v>
      </c>
      <c r="F66" s="47"/>
      <c r="G66" s="47"/>
      <c r="H66" s="36"/>
      <c r="I66" s="23"/>
    </row>
    <row r="67" spans="1:13" ht="31.5" x14ac:dyDescent="0.25">
      <c r="A67" s="3" t="s">
        <v>164</v>
      </c>
      <c r="B67" s="34">
        <v>312</v>
      </c>
      <c r="C67" s="23"/>
      <c r="D67" s="23"/>
      <c r="E67" s="23">
        <f t="shared" si="2"/>
        <v>0</v>
      </c>
      <c r="F67" s="47"/>
      <c r="G67" s="47"/>
      <c r="H67" s="36"/>
      <c r="I67" s="23"/>
    </row>
    <row r="68" spans="1:13" ht="34.15" customHeight="1" x14ac:dyDescent="0.25">
      <c r="A68" s="3" t="s">
        <v>59</v>
      </c>
      <c r="B68" s="34">
        <v>313</v>
      </c>
      <c r="C68" s="23"/>
      <c r="D68" s="23"/>
      <c r="E68" s="23">
        <f t="shared" si="2"/>
        <v>0</v>
      </c>
      <c r="F68" s="47"/>
      <c r="G68" s="47"/>
      <c r="H68" s="36"/>
      <c r="I68" s="23"/>
    </row>
    <row r="69" spans="1:13" x14ac:dyDescent="0.25">
      <c r="A69" s="3" t="s">
        <v>60</v>
      </c>
      <c r="B69" s="34">
        <v>314</v>
      </c>
      <c r="C69" s="23"/>
      <c r="D69" s="23"/>
      <c r="E69" s="23">
        <f t="shared" si="2"/>
        <v>0</v>
      </c>
      <c r="F69" s="47"/>
      <c r="G69" s="47"/>
      <c r="H69" s="36"/>
      <c r="I69" s="23"/>
    </row>
    <row r="70" spans="1:13" ht="15" customHeight="1" x14ac:dyDescent="0.25">
      <c r="A70" s="3" t="s">
        <v>61</v>
      </c>
      <c r="B70" s="34">
        <v>315</v>
      </c>
      <c r="C70" s="23"/>
      <c r="D70" s="23"/>
      <c r="E70" s="23">
        <f t="shared" si="2"/>
        <v>0</v>
      </c>
      <c r="F70" s="47"/>
      <c r="G70" s="47"/>
      <c r="H70" s="36"/>
      <c r="I70" s="23"/>
    </row>
    <row r="71" spans="1:13" x14ac:dyDescent="0.25">
      <c r="A71" s="3" t="s">
        <v>62</v>
      </c>
      <c r="B71" s="34">
        <v>316</v>
      </c>
      <c r="C71" s="23"/>
      <c r="D71" s="23">
        <v>0.3</v>
      </c>
      <c r="E71" s="23">
        <f t="shared" si="2"/>
        <v>130.30000000000001</v>
      </c>
      <c r="F71" s="47">
        <v>40</v>
      </c>
      <c r="G71" s="47">
        <v>30.2</v>
      </c>
      <c r="H71" s="48">
        <v>30.1</v>
      </c>
      <c r="I71" s="23">
        <v>30</v>
      </c>
    </row>
    <row r="72" spans="1:13" x14ac:dyDescent="0.25">
      <c r="A72" s="3" t="s">
        <v>63</v>
      </c>
      <c r="B72" s="34">
        <v>317</v>
      </c>
      <c r="C72" s="23"/>
      <c r="D72" s="23"/>
      <c r="E72" s="23">
        <f t="shared" si="2"/>
        <v>0</v>
      </c>
      <c r="F72" s="47"/>
      <c r="G72" s="47"/>
      <c r="H72" s="36"/>
      <c r="I72" s="23"/>
    </row>
    <row r="73" spans="1:13" ht="33.6" customHeight="1" x14ac:dyDescent="0.25">
      <c r="A73" s="3" t="s">
        <v>64</v>
      </c>
      <c r="B73" s="34">
        <v>318</v>
      </c>
      <c r="C73" s="23">
        <v>23.4</v>
      </c>
      <c r="D73" s="23">
        <v>52.9</v>
      </c>
      <c r="E73" s="23">
        <f t="shared" si="2"/>
        <v>20</v>
      </c>
      <c r="F73" s="47">
        <v>0</v>
      </c>
      <c r="G73" s="47">
        <v>0</v>
      </c>
      <c r="H73" s="48">
        <v>0</v>
      </c>
      <c r="I73" s="23">
        <v>20</v>
      </c>
    </row>
    <row r="74" spans="1:13" ht="31.9" customHeight="1" x14ac:dyDescent="0.25">
      <c r="A74" s="3" t="s">
        <v>65</v>
      </c>
      <c r="B74" s="34">
        <v>319</v>
      </c>
      <c r="C74" s="23"/>
      <c r="D74" s="23"/>
      <c r="E74" s="23">
        <f t="shared" si="2"/>
        <v>0</v>
      </c>
      <c r="F74" s="47"/>
      <c r="G74" s="47"/>
      <c r="H74" s="36"/>
      <c r="I74" s="23"/>
    </row>
    <row r="75" spans="1:13" ht="51" customHeight="1" x14ac:dyDescent="0.25">
      <c r="A75" s="7" t="s">
        <v>66</v>
      </c>
      <c r="B75" s="11">
        <v>320</v>
      </c>
      <c r="C75" s="24">
        <f t="shared" ref="C75:D75" si="6">SUM(C76:C77)</f>
        <v>71</v>
      </c>
      <c r="D75" s="24">
        <f t="shared" si="6"/>
        <v>34</v>
      </c>
      <c r="E75" s="24">
        <f>SUM(E76:E77)</f>
        <v>95.9</v>
      </c>
      <c r="F75" s="7">
        <f>SUM(F76:F77)</f>
        <v>12.1</v>
      </c>
      <c r="G75" s="7">
        <f t="shared" ref="G75:I75" si="7">SUM(G76:G77)</f>
        <v>27.5</v>
      </c>
      <c r="H75" s="7">
        <f t="shared" si="7"/>
        <v>14.1</v>
      </c>
      <c r="I75" s="7">
        <f t="shared" si="7"/>
        <v>42.2</v>
      </c>
      <c r="L75" s="2" t="s">
        <v>195</v>
      </c>
    </row>
    <row r="76" spans="1:13" ht="15" customHeight="1" x14ac:dyDescent="0.25">
      <c r="A76" s="3" t="s">
        <v>67</v>
      </c>
      <c r="B76" s="34">
        <v>321</v>
      </c>
      <c r="C76" s="23"/>
      <c r="D76" s="23"/>
      <c r="E76" s="23">
        <f t="shared" si="2"/>
        <v>0</v>
      </c>
      <c r="F76" s="3"/>
      <c r="G76" s="3"/>
      <c r="H76" s="13"/>
      <c r="I76" s="23"/>
    </row>
    <row r="77" spans="1:13" ht="15" customHeight="1" x14ac:dyDescent="0.25">
      <c r="A77" s="3" t="s">
        <v>68</v>
      </c>
      <c r="B77" s="34">
        <v>322</v>
      </c>
      <c r="C77" s="23">
        <v>71</v>
      </c>
      <c r="D77" s="23">
        <v>34</v>
      </c>
      <c r="E77" s="23">
        <f t="shared" si="2"/>
        <v>95.9</v>
      </c>
      <c r="F77" s="3">
        <v>12.1</v>
      </c>
      <c r="G77" s="47">
        <v>27.5</v>
      </c>
      <c r="H77" s="48">
        <v>14.1</v>
      </c>
      <c r="I77" s="23">
        <f>12.2+30</f>
        <v>42.2</v>
      </c>
      <c r="J77" s="2">
        <v>30</v>
      </c>
      <c r="L77" s="2" t="s">
        <v>171</v>
      </c>
      <c r="M77" s="2" t="s">
        <v>169</v>
      </c>
    </row>
    <row r="78" spans="1:13" x14ac:dyDescent="0.25">
      <c r="A78" s="7" t="s">
        <v>69</v>
      </c>
      <c r="B78" s="11">
        <v>400</v>
      </c>
      <c r="C78" s="22"/>
      <c r="D78" s="22"/>
      <c r="E78" s="23">
        <f t="shared" si="2"/>
        <v>0</v>
      </c>
      <c r="F78" s="7">
        <f>SUM(F79:F87)</f>
        <v>0</v>
      </c>
      <c r="G78" s="7">
        <f t="shared" ref="G78:I78" si="8">SUM(G79:G87)</f>
        <v>0</v>
      </c>
      <c r="H78" s="7">
        <f t="shared" si="8"/>
        <v>0</v>
      </c>
      <c r="I78" s="7">
        <f t="shared" si="8"/>
        <v>0</v>
      </c>
    </row>
    <row r="79" spans="1:13" x14ac:dyDescent="0.25">
      <c r="A79" s="3" t="s">
        <v>70</v>
      </c>
      <c r="B79" s="34">
        <v>401</v>
      </c>
      <c r="C79" s="23"/>
      <c r="D79" s="23"/>
      <c r="E79" s="23">
        <f t="shared" si="2"/>
        <v>0</v>
      </c>
      <c r="F79" s="3"/>
      <c r="G79" s="3"/>
      <c r="H79" s="13"/>
      <c r="I79" s="23"/>
    </row>
    <row r="80" spans="1:13" x14ac:dyDescent="0.25">
      <c r="A80" s="3" t="s">
        <v>71</v>
      </c>
      <c r="B80" s="34">
        <v>402</v>
      </c>
      <c r="C80" s="23"/>
      <c r="D80" s="23"/>
      <c r="E80" s="23">
        <f t="shared" si="2"/>
        <v>0</v>
      </c>
      <c r="F80" s="3"/>
      <c r="G80" s="3"/>
      <c r="H80" s="13"/>
      <c r="I80" s="23"/>
    </row>
    <row r="81" spans="1:12" x14ac:dyDescent="0.25">
      <c r="A81" s="3" t="s">
        <v>55</v>
      </c>
      <c r="B81" s="34">
        <v>403</v>
      </c>
      <c r="C81" s="23"/>
      <c r="D81" s="23"/>
      <c r="E81" s="23">
        <f t="shared" si="2"/>
        <v>0</v>
      </c>
      <c r="F81" s="3"/>
      <c r="G81" s="3"/>
      <c r="H81" s="13"/>
      <c r="I81" s="23"/>
    </row>
    <row r="82" spans="1:12" x14ac:dyDescent="0.25">
      <c r="A82" s="3" t="s">
        <v>56</v>
      </c>
      <c r="B82" s="34">
        <v>404</v>
      </c>
      <c r="C82" s="23"/>
      <c r="D82" s="23"/>
      <c r="E82" s="23">
        <f t="shared" si="2"/>
        <v>0</v>
      </c>
      <c r="F82" s="3"/>
      <c r="G82" s="3"/>
      <c r="H82" s="13"/>
      <c r="I82" s="23"/>
    </row>
    <row r="83" spans="1:12" ht="29.45" customHeight="1" x14ac:dyDescent="0.25">
      <c r="A83" s="3" t="s">
        <v>72</v>
      </c>
      <c r="B83" s="34">
        <v>405</v>
      </c>
      <c r="C83" s="23"/>
      <c r="D83" s="23"/>
      <c r="E83" s="23">
        <f t="shared" si="2"/>
        <v>0</v>
      </c>
      <c r="F83" s="3"/>
      <c r="G83" s="3"/>
      <c r="H83" s="13"/>
      <c r="I83" s="23"/>
    </row>
    <row r="84" spans="1:12" x14ac:dyDescent="0.25">
      <c r="A84" s="3" t="s">
        <v>73</v>
      </c>
      <c r="B84" s="34">
        <v>406</v>
      </c>
      <c r="C84" s="23"/>
      <c r="D84" s="23"/>
      <c r="E84" s="23">
        <f t="shared" si="2"/>
        <v>0</v>
      </c>
      <c r="F84" s="3"/>
      <c r="G84" s="3"/>
      <c r="H84" s="13"/>
      <c r="I84" s="23"/>
    </row>
    <row r="85" spans="1:12" x14ac:dyDescent="0.25">
      <c r="A85" s="3" t="s">
        <v>74</v>
      </c>
      <c r="B85" s="34">
        <v>407</v>
      </c>
      <c r="C85" s="23"/>
      <c r="D85" s="23"/>
      <c r="E85" s="23">
        <f t="shared" si="2"/>
        <v>0</v>
      </c>
      <c r="F85" s="3"/>
      <c r="G85" s="3"/>
      <c r="H85" s="13"/>
      <c r="I85" s="23"/>
    </row>
    <row r="86" spans="1:12" ht="15" customHeight="1" x14ac:dyDescent="0.25">
      <c r="A86" s="3" t="s">
        <v>75</v>
      </c>
      <c r="B86" s="34">
        <v>408</v>
      </c>
      <c r="C86" s="23"/>
      <c r="D86" s="23"/>
      <c r="E86" s="23">
        <f t="shared" si="2"/>
        <v>0</v>
      </c>
      <c r="F86" s="3"/>
      <c r="G86" s="3"/>
      <c r="H86" s="13"/>
      <c r="I86" s="23"/>
    </row>
    <row r="87" spans="1:12" ht="15" customHeight="1" x14ac:dyDescent="0.25">
      <c r="A87" s="3" t="s">
        <v>76</v>
      </c>
      <c r="B87" s="34">
        <v>409</v>
      </c>
      <c r="C87" s="23"/>
      <c r="D87" s="23"/>
      <c r="E87" s="23">
        <f t="shared" si="2"/>
        <v>0</v>
      </c>
      <c r="F87" s="3"/>
      <c r="G87" s="3"/>
      <c r="H87" s="13"/>
      <c r="I87" s="23"/>
    </row>
    <row r="88" spans="1:12" x14ac:dyDescent="0.25">
      <c r="A88" s="3" t="s">
        <v>77</v>
      </c>
      <c r="B88" s="34">
        <v>500</v>
      </c>
      <c r="C88" s="23"/>
      <c r="D88" s="23"/>
      <c r="E88" s="23">
        <f t="shared" si="2"/>
        <v>0</v>
      </c>
      <c r="F88" s="3"/>
      <c r="G88" s="3"/>
      <c r="H88" s="13"/>
      <c r="I88" s="23"/>
    </row>
    <row r="89" spans="1:12" x14ac:dyDescent="0.25">
      <c r="A89" s="3" t="s">
        <v>199</v>
      </c>
      <c r="B89" s="34">
        <v>600</v>
      </c>
      <c r="C89" s="23">
        <v>380.8</v>
      </c>
      <c r="D89" s="23">
        <v>150</v>
      </c>
      <c r="E89" s="23">
        <f t="shared" si="2"/>
        <v>0</v>
      </c>
      <c r="F89" s="3"/>
      <c r="G89" s="3"/>
      <c r="H89" s="13"/>
      <c r="I89" s="23"/>
      <c r="L89" s="2" t="s">
        <v>176</v>
      </c>
    </row>
    <row r="90" spans="1:12" s="25" customFormat="1" x14ac:dyDescent="0.25">
      <c r="A90" s="7" t="s">
        <v>78</v>
      </c>
      <c r="B90" s="11">
        <v>700</v>
      </c>
      <c r="C90" s="24">
        <f t="shared" ref="C90:E90" si="9">SUM(C25)</f>
        <v>24518.2</v>
      </c>
      <c r="D90" s="24">
        <f t="shared" si="9"/>
        <v>26067.800000000003</v>
      </c>
      <c r="E90" s="24">
        <f t="shared" si="9"/>
        <v>26661.599999999999</v>
      </c>
      <c r="F90" s="24">
        <f>SUM(F25)</f>
        <v>7118.8</v>
      </c>
      <c r="G90" s="24">
        <f t="shared" ref="G90:I90" si="10">SUM(G25)</f>
        <v>6223.9</v>
      </c>
      <c r="H90" s="24">
        <f t="shared" si="10"/>
        <v>6369.8</v>
      </c>
      <c r="I90" s="24">
        <f t="shared" si="10"/>
        <v>6949.1</v>
      </c>
    </row>
    <row r="91" spans="1:12" s="25" customFormat="1" x14ac:dyDescent="0.25">
      <c r="A91" s="7" t="s">
        <v>79</v>
      </c>
      <c r="B91" s="11">
        <v>800</v>
      </c>
      <c r="C91" s="24">
        <f t="shared" ref="C91:E91" si="11">SUM(C97:C100,C94)</f>
        <v>24075.3</v>
      </c>
      <c r="D91" s="24">
        <f t="shared" si="11"/>
        <v>26064.6</v>
      </c>
      <c r="E91" s="24">
        <f t="shared" si="11"/>
        <v>25461.1</v>
      </c>
      <c r="F91" s="24">
        <f>SUM(F97:F100,F94)</f>
        <v>7098.8</v>
      </c>
      <c r="G91" s="24">
        <f t="shared" ref="G91:I91" si="12">SUM(G97:G100,G94)</f>
        <v>5774.4</v>
      </c>
      <c r="H91" s="24">
        <f>SUM(H97:H100,H94)</f>
        <v>5638.7999999999993</v>
      </c>
      <c r="I91" s="24">
        <f t="shared" si="12"/>
        <v>6949.1</v>
      </c>
    </row>
    <row r="92" spans="1:12" s="25" customFormat="1" x14ac:dyDescent="0.25">
      <c r="A92" s="7" t="s">
        <v>80</v>
      </c>
      <c r="B92" s="11">
        <v>900</v>
      </c>
      <c r="C92" s="24">
        <f t="shared" ref="C92:D92" si="13">C90-C91</f>
        <v>442.90000000000146</v>
      </c>
      <c r="D92" s="24">
        <f t="shared" si="13"/>
        <v>3.2000000000043656</v>
      </c>
      <c r="E92" s="24">
        <v>0</v>
      </c>
      <c r="F92" s="24">
        <f>F90-F91</f>
        <v>20</v>
      </c>
      <c r="G92" s="7">
        <f>G90-G91</f>
        <v>449.5</v>
      </c>
      <c r="H92" s="7">
        <f>H90-H91</f>
        <v>731.00000000000091</v>
      </c>
      <c r="I92" s="7">
        <f>I90-I91</f>
        <v>0</v>
      </c>
    </row>
    <row r="93" spans="1:12" x14ac:dyDescent="0.25">
      <c r="A93" s="7" t="s">
        <v>81</v>
      </c>
      <c r="B93" s="11"/>
      <c r="C93" s="22"/>
      <c r="D93" s="22"/>
      <c r="E93" s="23">
        <f t="shared" ref="E93" si="14">SUM(F93:I93)</f>
        <v>0</v>
      </c>
      <c r="F93" s="7"/>
      <c r="G93" s="7"/>
      <c r="H93" s="13"/>
      <c r="I93" s="23"/>
    </row>
    <row r="94" spans="1:12" ht="31.5" x14ac:dyDescent="0.25">
      <c r="A94" s="3" t="s">
        <v>167</v>
      </c>
      <c r="B94" s="34">
        <v>1000</v>
      </c>
      <c r="C94" s="42">
        <f t="shared" ref="C94:D94" si="15">C36+C32+C44+C43+C56+C96</f>
        <v>2513.6999999999998</v>
      </c>
      <c r="D94" s="42">
        <f t="shared" si="15"/>
        <v>3501.1</v>
      </c>
      <c r="E94" s="42">
        <f>E36+E32+E44+E43+E56+E96</f>
        <v>3460</v>
      </c>
      <c r="F94" s="42">
        <f>F36+F32+F44+F43+F56+F96</f>
        <v>945.2</v>
      </c>
      <c r="G94" s="42">
        <f t="shared" ref="G94:I94" si="16">G36+G32+G44+G43+G56+G96</f>
        <v>798.7</v>
      </c>
      <c r="H94" s="42">
        <f t="shared" si="16"/>
        <v>717.5</v>
      </c>
      <c r="I94" s="42">
        <f t="shared" si="16"/>
        <v>998.59999999999991</v>
      </c>
      <c r="J94" s="1"/>
    </row>
    <row r="95" spans="1:12" ht="18" customHeight="1" x14ac:dyDescent="0.25">
      <c r="A95" s="3" t="s">
        <v>82</v>
      </c>
      <c r="B95" s="34">
        <v>1001</v>
      </c>
      <c r="C95" s="42"/>
      <c r="D95" s="42"/>
      <c r="E95" s="42"/>
      <c r="F95" s="42"/>
      <c r="G95" s="3"/>
      <c r="H95" s="13"/>
      <c r="I95" s="23"/>
      <c r="J95" s="1"/>
    </row>
    <row r="96" spans="1:12" ht="18" customHeight="1" x14ac:dyDescent="0.25">
      <c r="A96" s="3" t="s">
        <v>168</v>
      </c>
      <c r="B96" s="34">
        <v>1002</v>
      </c>
      <c r="C96" s="42">
        <f t="shared" ref="C96:D96" si="17">C33+C39+C40+C41+C42+C51</f>
        <v>788.89999999999986</v>
      </c>
      <c r="D96" s="42">
        <f t="shared" si="17"/>
        <v>1387.1</v>
      </c>
      <c r="E96" s="42">
        <f>E33+E39+E40+E41+E42+E51</f>
        <v>1951.7</v>
      </c>
      <c r="F96" s="42">
        <f>F33+F39+F40+F41+F42+F51</f>
        <v>710.7</v>
      </c>
      <c r="G96" s="42">
        <f t="shared" ref="G96:I96" si="18">G33+G39+G40+G41+G42+G51</f>
        <v>360.7</v>
      </c>
      <c r="H96" s="42">
        <f t="shared" si="18"/>
        <v>359.5</v>
      </c>
      <c r="I96" s="42">
        <f t="shared" si="18"/>
        <v>520.79999999999995</v>
      </c>
      <c r="J96" s="14"/>
    </row>
    <row r="97" spans="1:10" x14ac:dyDescent="0.25">
      <c r="A97" s="3" t="s">
        <v>26</v>
      </c>
      <c r="B97" s="34">
        <v>1100</v>
      </c>
      <c r="C97" s="42">
        <f t="shared" ref="C97:D97" si="19">C34+C63+C81</f>
        <v>17424.5</v>
      </c>
      <c r="D97" s="42">
        <f t="shared" si="19"/>
        <v>18404.400000000001</v>
      </c>
      <c r="E97" s="42">
        <f t="shared" ref="E97:F98" si="20">E34+E63+E81</f>
        <v>17787.2</v>
      </c>
      <c r="F97" s="42">
        <f t="shared" si="20"/>
        <v>5003.5</v>
      </c>
      <c r="G97" s="42">
        <f t="shared" ref="G97:I97" si="21">G34+G63+G81</f>
        <v>3998.2</v>
      </c>
      <c r="H97" s="42">
        <f t="shared" si="21"/>
        <v>3998.2</v>
      </c>
      <c r="I97" s="42">
        <f t="shared" si="21"/>
        <v>4787.3</v>
      </c>
      <c r="J97" s="14"/>
    </row>
    <row r="98" spans="1:10" x14ac:dyDescent="0.25">
      <c r="A98" s="3" t="s">
        <v>27</v>
      </c>
      <c r="B98" s="34">
        <v>1200</v>
      </c>
      <c r="C98" s="42">
        <f t="shared" ref="C98:D98" si="22">C35+C64+C82</f>
        <v>3400.5</v>
      </c>
      <c r="D98" s="42">
        <f t="shared" si="22"/>
        <v>3579.8</v>
      </c>
      <c r="E98" s="42">
        <f t="shared" si="20"/>
        <v>3836.3999999999996</v>
      </c>
      <c r="F98" s="42">
        <f t="shared" si="20"/>
        <v>1078.6000000000001</v>
      </c>
      <c r="G98" s="42">
        <f t="shared" ref="G98:I98" si="23">G35+G64+G82</f>
        <v>857.4</v>
      </c>
      <c r="H98" s="42">
        <f t="shared" si="23"/>
        <v>857.4</v>
      </c>
      <c r="I98" s="42">
        <f t="shared" si="23"/>
        <v>1043</v>
      </c>
    </row>
    <row r="99" spans="1:10" x14ac:dyDescent="0.25">
      <c r="A99" s="3" t="s">
        <v>83</v>
      </c>
      <c r="B99" s="34">
        <v>1300</v>
      </c>
      <c r="C99" s="42"/>
      <c r="D99" s="42"/>
      <c r="E99" s="42"/>
      <c r="F99" s="42"/>
      <c r="G99" s="3"/>
      <c r="H99" s="13"/>
      <c r="I99" s="23"/>
    </row>
    <row r="100" spans="1:10" x14ac:dyDescent="0.25">
      <c r="A100" s="3" t="s">
        <v>84</v>
      </c>
      <c r="B100" s="34">
        <v>1400</v>
      </c>
      <c r="C100" s="42">
        <f t="shared" ref="C100:D100" si="24">SUM(C37:C38,C45:C50,C52:C54,C57:C62,C65:C75,C78,C89)</f>
        <v>736.6</v>
      </c>
      <c r="D100" s="42">
        <f t="shared" si="24"/>
        <v>579.29999999999995</v>
      </c>
      <c r="E100" s="42">
        <f>SUM(E37:E38,E45:E50,E52:E54,E57:E62,E65:E75,E78,E89)</f>
        <v>377.5</v>
      </c>
      <c r="F100" s="42">
        <f>SUM(F37:F38,F45:F50,F52:F54,F57:F62,F65:F75,F78,F89)</f>
        <v>71.5</v>
      </c>
      <c r="G100" s="42">
        <f t="shared" ref="G100:I100" si="25">SUM(G37:G38,G45:G50,G52:G54,G57:G62,G65:G75,G78,G89)</f>
        <v>120.1</v>
      </c>
      <c r="H100" s="42">
        <f t="shared" si="25"/>
        <v>65.7</v>
      </c>
      <c r="I100" s="42">
        <f t="shared" si="25"/>
        <v>120.2</v>
      </c>
    </row>
    <row r="101" spans="1:10" s="25" customFormat="1" x14ac:dyDescent="0.25">
      <c r="A101" s="7" t="s">
        <v>85</v>
      </c>
      <c r="B101" s="11">
        <v>1500</v>
      </c>
      <c r="C101" s="24">
        <f t="shared" ref="C101:D101" si="26">SUM(C97:C100,C94)</f>
        <v>24075.3</v>
      </c>
      <c r="D101" s="24">
        <f t="shared" si="26"/>
        <v>26064.6</v>
      </c>
      <c r="E101" s="24">
        <f>SUM(E97:E100,E94)</f>
        <v>25461.1</v>
      </c>
      <c r="F101" s="24">
        <f>SUM(F97:F100,F94)</f>
        <v>7098.8</v>
      </c>
      <c r="G101" s="24">
        <f t="shared" ref="G101:I101" si="27">SUM(G97:G100,G94)</f>
        <v>5774.4</v>
      </c>
      <c r="H101" s="24">
        <f t="shared" si="27"/>
        <v>5638.7999999999993</v>
      </c>
      <c r="I101" s="24">
        <f t="shared" si="27"/>
        <v>6949.1</v>
      </c>
    </row>
    <row r="102" spans="1:10" x14ac:dyDescent="0.25">
      <c r="A102" s="15"/>
      <c r="B102" s="14"/>
      <c r="C102" s="14"/>
      <c r="D102" s="14"/>
      <c r="E102" s="14"/>
      <c r="F102" s="1"/>
      <c r="H102" s="1"/>
      <c r="I102" s="1"/>
    </row>
    <row r="103" spans="1:10" x14ac:dyDescent="0.25">
      <c r="A103" s="32"/>
      <c r="B103" s="1"/>
      <c r="C103" s="1"/>
      <c r="D103" s="1"/>
      <c r="E103" s="1"/>
      <c r="F103" s="1"/>
      <c r="H103" s="1"/>
      <c r="I103" s="1"/>
    </row>
    <row r="104" spans="1:10" ht="16.149999999999999" customHeight="1" thickBot="1" x14ac:dyDescent="0.3">
      <c r="A104" s="16" t="s">
        <v>179</v>
      </c>
      <c r="B104" s="17"/>
      <c r="C104" s="17"/>
      <c r="D104" s="17"/>
      <c r="E104" s="45"/>
      <c r="F104" s="45"/>
      <c r="G104" s="102" t="s">
        <v>162</v>
      </c>
      <c r="H104" s="102"/>
      <c r="I104" s="102"/>
    </row>
    <row r="105" spans="1:10" ht="15.6" customHeight="1" x14ac:dyDescent="0.25">
      <c r="A105" s="18" t="s">
        <v>86</v>
      </c>
      <c r="B105" s="46" t="s">
        <v>87</v>
      </c>
      <c r="C105" s="99"/>
      <c r="D105" s="99"/>
      <c r="E105" s="29"/>
      <c r="F105" s="29"/>
      <c r="G105" s="99" t="s">
        <v>88</v>
      </c>
      <c r="H105" s="99"/>
      <c r="I105" s="99"/>
    </row>
  </sheetData>
  <mergeCells count="29"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A14" sqref="A14"/>
    </sheetView>
  </sheetViews>
  <sheetFormatPr defaultColWidth="8.85546875" defaultRowHeight="15.75" x14ac:dyDescent="0.25"/>
  <cols>
    <col min="1" max="1" width="47.42578125" style="50" customWidth="1"/>
    <col min="2" max="2" width="8.85546875" style="50"/>
    <col min="3" max="3" width="13.7109375" style="50" customWidth="1"/>
    <col min="4" max="4" width="15.85546875" style="50" customWidth="1"/>
    <col min="5" max="5" width="12.28515625" style="50" customWidth="1"/>
    <col min="6" max="6" width="11.42578125" style="50" customWidth="1"/>
    <col min="7" max="16384" width="8.85546875" style="50"/>
  </cols>
  <sheetData>
    <row r="1" spans="1:10" x14ac:dyDescent="0.25">
      <c r="D1" s="95"/>
      <c r="F1" s="95"/>
      <c r="H1" s="113" t="s">
        <v>90</v>
      </c>
      <c r="I1" s="113"/>
    </row>
    <row r="2" spans="1:10" x14ac:dyDescent="0.25">
      <c r="A2" s="115" t="s">
        <v>91</v>
      </c>
      <c r="B2" s="115"/>
      <c r="C2" s="115"/>
      <c r="D2" s="115"/>
      <c r="E2" s="115"/>
      <c r="F2" s="115"/>
      <c r="G2" s="115"/>
      <c r="H2" s="115"/>
      <c r="I2" s="115"/>
    </row>
    <row r="3" spans="1:10" ht="8.4499999999999993" customHeight="1" x14ac:dyDescent="0.25"/>
    <row r="4" spans="1:10" ht="15" customHeight="1" x14ac:dyDescent="0.25">
      <c r="A4" s="117" t="s">
        <v>15</v>
      </c>
      <c r="B4" s="117" t="s">
        <v>89</v>
      </c>
      <c r="C4" s="117" t="s">
        <v>189</v>
      </c>
      <c r="D4" s="117" t="s">
        <v>188</v>
      </c>
      <c r="E4" s="117" t="s">
        <v>190</v>
      </c>
      <c r="F4" s="117" t="s">
        <v>181</v>
      </c>
      <c r="G4" s="117"/>
      <c r="H4" s="117"/>
      <c r="I4" s="117"/>
      <c r="J4" s="52"/>
    </row>
    <row r="5" spans="1:10" ht="37.15" customHeight="1" x14ac:dyDescent="0.25">
      <c r="A5" s="117"/>
      <c r="B5" s="117"/>
      <c r="C5" s="117"/>
      <c r="D5" s="117"/>
      <c r="E5" s="117"/>
      <c r="F5" s="43" t="s">
        <v>182</v>
      </c>
      <c r="G5" s="43" t="s">
        <v>183</v>
      </c>
      <c r="H5" s="43" t="s">
        <v>184</v>
      </c>
      <c r="I5" s="43" t="s">
        <v>185</v>
      </c>
      <c r="J5" s="52"/>
    </row>
    <row r="6" spans="1:10" x14ac:dyDescent="0.25">
      <c r="A6" s="97">
        <v>1</v>
      </c>
      <c r="B6" s="97">
        <v>2</v>
      </c>
      <c r="C6" s="97">
        <v>3</v>
      </c>
      <c r="D6" s="97">
        <v>4</v>
      </c>
      <c r="E6" s="97">
        <v>5</v>
      </c>
      <c r="F6" s="97">
        <v>6</v>
      </c>
      <c r="G6" s="97">
        <v>7</v>
      </c>
      <c r="H6" s="97">
        <v>8</v>
      </c>
      <c r="I6" s="97">
        <v>9</v>
      </c>
      <c r="J6" s="52"/>
    </row>
    <row r="7" spans="1:10" ht="17.45" customHeight="1" x14ac:dyDescent="0.25">
      <c r="A7" s="54" t="s">
        <v>92</v>
      </c>
      <c r="B7" s="54"/>
      <c r="C7" s="54"/>
      <c r="D7" s="54"/>
      <c r="E7" s="54"/>
      <c r="F7" s="47"/>
      <c r="G7" s="47"/>
      <c r="H7" s="47"/>
      <c r="I7" s="47"/>
      <c r="J7" s="52"/>
    </row>
    <row r="8" spans="1:10" s="56" customFormat="1" ht="37.9" customHeight="1" x14ac:dyDescent="0.25">
      <c r="A8" s="54" t="s">
        <v>93</v>
      </c>
      <c r="B8" s="54">
        <v>2000</v>
      </c>
      <c r="C8" s="57">
        <v>202.4</v>
      </c>
      <c r="D8" s="57">
        <v>0</v>
      </c>
      <c r="E8" s="57"/>
      <c r="F8" s="57">
        <v>0</v>
      </c>
      <c r="G8" s="61">
        <f>F14</f>
        <v>20</v>
      </c>
      <c r="H8" s="61">
        <f t="shared" ref="H8" si="0">G14</f>
        <v>469.5</v>
      </c>
      <c r="I8" s="61">
        <v>5.0999999999999996</v>
      </c>
      <c r="J8" s="55"/>
    </row>
    <row r="9" spans="1:10" ht="34.15" customHeight="1" x14ac:dyDescent="0.25">
      <c r="A9" s="47" t="s">
        <v>94</v>
      </c>
      <c r="B9" s="47">
        <v>2001</v>
      </c>
      <c r="C9" s="48"/>
      <c r="D9" s="48"/>
      <c r="E9" s="48"/>
      <c r="F9" s="48"/>
      <c r="G9" s="48"/>
      <c r="H9" s="62"/>
      <c r="I9" s="62"/>
      <c r="J9" s="52"/>
    </row>
    <row r="10" spans="1:10" ht="18.600000000000001" customHeight="1" x14ac:dyDescent="0.25">
      <c r="A10" s="47" t="s">
        <v>95</v>
      </c>
      <c r="B10" s="47">
        <v>2002</v>
      </c>
      <c r="C10" s="48"/>
      <c r="D10" s="48"/>
      <c r="E10" s="48"/>
      <c r="F10" s="48"/>
      <c r="G10" s="48"/>
      <c r="H10" s="62"/>
      <c r="I10" s="62"/>
      <c r="J10" s="52"/>
    </row>
    <row r="11" spans="1:10" ht="32.450000000000003" customHeight="1" x14ac:dyDescent="0.25">
      <c r="A11" s="47" t="s">
        <v>96</v>
      </c>
      <c r="B11" s="47">
        <v>2003</v>
      </c>
      <c r="C11" s="48"/>
      <c r="D11" s="48"/>
      <c r="E11" s="48"/>
      <c r="F11" s="48"/>
      <c r="G11" s="48"/>
      <c r="H11" s="62"/>
      <c r="I11" s="62"/>
      <c r="J11" s="52"/>
    </row>
    <row r="12" spans="1:10" ht="20.45" customHeight="1" x14ac:dyDescent="0.25">
      <c r="A12" s="47" t="s">
        <v>97</v>
      </c>
      <c r="B12" s="47">
        <v>2004</v>
      </c>
      <c r="C12" s="48"/>
      <c r="D12" s="48"/>
      <c r="E12" s="48"/>
      <c r="F12" s="48"/>
      <c r="G12" s="48"/>
      <c r="H12" s="62"/>
      <c r="I12" s="62"/>
      <c r="J12" s="52"/>
    </row>
    <row r="13" spans="1:10" ht="18" customHeight="1" x14ac:dyDescent="0.25">
      <c r="A13" s="47" t="s">
        <v>202</v>
      </c>
      <c r="B13" s="47">
        <v>2005</v>
      </c>
      <c r="C13" s="48"/>
      <c r="D13" s="48"/>
      <c r="E13" s="48"/>
      <c r="F13" s="48"/>
      <c r="G13" s="48"/>
      <c r="H13" s="62"/>
      <c r="I13" s="62">
        <v>5.0999999999999996</v>
      </c>
      <c r="J13" s="52"/>
    </row>
    <row r="14" spans="1:10" ht="34.15" customHeight="1" x14ac:dyDescent="0.25">
      <c r="A14" s="47" t="s">
        <v>98</v>
      </c>
      <c r="B14" s="47">
        <v>2006</v>
      </c>
      <c r="C14" s="48">
        <f>'Таблиця 1'!C92</f>
        <v>442.90000000000146</v>
      </c>
      <c r="D14" s="48">
        <f>'Таблиця 1'!D92</f>
        <v>3.2000000000043656</v>
      </c>
      <c r="E14" s="48">
        <f>I14</f>
        <v>0</v>
      </c>
      <c r="F14" s="48">
        <f>'Таблиця 1'!F92</f>
        <v>20</v>
      </c>
      <c r="G14" s="48">
        <f>'Таблиця 1'!G92+F14</f>
        <v>469.5</v>
      </c>
      <c r="H14" s="48">
        <f>'Таблиця 1'!H92+G14</f>
        <v>1200.5000000000009</v>
      </c>
      <c r="I14" s="48">
        <f>I8-I13</f>
        <v>0</v>
      </c>
      <c r="J14" s="52"/>
    </row>
    <row r="15" spans="1:10" ht="47.45" customHeight="1" x14ac:dyDescent="0.25">
      <c r="A15" s="54" t="s">
        <v>99</v>
      </c>
      <c r="B15" s="54">
        <v>2100</v>
      </c>
      <c r="C15" s="57">
        <f t="shared" ref="C15:D15" si="1">SUM(C16:C20)</f>
        <v>3136.41</v>
      </c>
      <c r="D15" s="57">
        <f t="shared" si="1"/>
        <v>3312.7919999999999</v>
      </c>
      <c r="E15" s="57">
        <f>SUM(F15:I15)</f>
        <v>3201.6959999999999</v>
      </c>
      <c r="F15" s="61">
        <f t="shared" ref="F15:I15" si="2">SUM(F16:F20)</f>
        <v>900.63</v>
      </c>
      <c r="G15" s="61">
        <f t="shared" si="2"/>
        <v>719.67599999999993</v>
      </c>
      <c r="H15" s="61">
        <f>SUM(H16:H20)</f>
        <v>719.67599999999993</v>
      </c>
      <c r="I15" s="61">
        <f t="shared" si="2"/>
        <v>861.71400000000006</v>
      </c>
      <c r="J15" s="52"/>
    </row>
    <row r="16" spans="1:10" ht="18.600000000000001" customHeight="1" x14ac:dyDescent="0.25">
      <c r="A16" s="47" t="s">
        <v>100</v>
      </c>
      <c r="B16" s="47">
        <v>2101</v>
      </c>
      <c r="C16" s="48">
        <f>'Таблиця 1'!C97*18%</f>
        <v>3136.41</v>
      </c>
      <c r="D16" s="48">
        <f>'Таблиця 1'!D97*18%</f>
        <v>3312.7919999999999</v>
      </c>
      <c r="E16" s="48">
        <f>SUM(F16:I16)</f>
        <v>3201.6959999999999</v>
      </c>
      <c r="F16" s="48">
        <f>'Таблиця 1'!F97*18%</f>
        <v>900.63</v>
      </c>
      <c r="G16" s="48">
        <f>'Таблиця 1'!G97*18%</f>
        <v>719.67599999999993</v>
      </c>
      <c r="H16" s="48">
        <f>'Таблиця 1'!H97*18%</f>
        <v>719.67599999999993</v>
      </c>
      <c r="I16" s="48">
        <f>'Таблиця 1'!I97*18%</f>
        <v>861.71400000000006</v>
      </c>
      <c r="J16" s="52"/>
    </row>
    <row r="17" spans="1:10" ht="17.45" customHeight="1" x14ac:dyDescent="0.25">
      <c r="A17" s="47" t="s">
        <v>101</v>
      </c>
      <c r="B17" s="47">
        <v>2102</v>
      </c>
      <c r="C17" s="48"/>
      <c r="D17" s="48"/>
      <c r="E17" s="48"/>
      <c r="F17" s="48"/>
      <c r="G17" s="48"/>
      <c r="H17" s="62"/>
      <c r="I17" s="62"/>
      <c r="J17" s="52"/>
    </row>
    <row r="18" spans="1:10" ht="15" customHeight="1" x14ac:dyDescent="0.25">
      <c r="A18" s="47" t="s">
        <v>102</v>
      </c>
      <c r="B18" s="47">
        <v>2103</v>
      </c>
      <c r="C18" s="48"/>
      <c r="D18" s="48"/>
      <c r="E18" s="48"/>
      <c r="F18" s="48"/>
      <c r="G18" s="48"/>
      <c r="H18" s="62"/>
      <c r="I18" s="62"/>
      <c r="J18" s="52"/>
    </row>
    <row r="19" spans="1:10" ht="15" customHeight="1" x14ac:dyDescent="0.25">
      <c r="A19" s="47" t="s">
        <v>103</v>
      </c>
      <c r="B19" s="47">
        <v>2104</v>
      </c>
      <c r="C19" s="48"/>
      <c r="D19" s="48"/>
      <c r="E19" s="48"/>
      <c r="F19" s="48"/>
      <c r="G19" s="48"/>
      <c r="H19" s="62"/>
      <c r="I19" s="62"/>
      <c r="J19" s="52"/>
    </row>
    <row r="20" spans="1:10" ht="20.45" customHeight="1" x14ac:dyDescent="0.25">
      <c r="A20" s="47" t="s">
        <v>104</v>
      </c>
      <c r="B20" s="47">
        <v>2105</v>
      </c>
      <c r="C20" s="48"/>
      <c r="D20" s="48"/>
      <c r="E20" s="48"/>
      <c r="F20" s="48"/>
      <c r="G20" s="48"/>
      <c r="H20" s="62"/>
      <c r="I20" s="62"/>
      <c r="J20" s="52"/>
    </row>
    <row r="21" spans="1:10" ht="35.450000000000003" customHeight="1" x14ac:dyDescent="0.25">
      <c r="A21" s="54" t="s">
        <v>105</v>
      </c>
      <c r="B21" s="54">
        <v>2200</v>
      </c>
      <c r="C21" s="57">
        <f>SUM(C22:C25)</f>
        <v>3661.8674999999998</v>
      </c>
      <c r="D21" s="57">
        <f>SUM(D22:D25)</f>
        <v>3855.866</v>
      </c>
      <c r="E21" s="61">
        <f t="shared" ref="E21:G21" si="3">SUM(E22:E25)</f>
        <v>4103.2080000000005</v>
      </c>
      <c r="F21" s="61">
        <f>SUM(F22:F25)</f>
        <v>1153.6525000000001</v>
      </c>
      <c r="G21" s="61">
        <f t="shared" si="3"/>
        <v>917.37299999999993</v>
      </c>
      <c r="H21" s="61">
        <f>SUM(H22:H25)</f>
        <v>917.37299999999993</v>
      </c>
      <c r="I21" s="61">
        <f t="shared" ref="I21" si="4">G21/F21*100</f>
        <v>79.519005939830222</v>
      </c>
      <c r="J21" s="52"/>
    </row>
    <row r="22" spans="1:10" ht="20.45" customHeight="1" x14ac:dyDescent="0.25">
      <c r="A22" s="47" t="s">
        <v>106</v>
      </c>
      <c r="B22" s="47">
        <v>2201</v>
      </c>
      <c r="C22" s="48"/>
      <c r="D22" s="48"/>
      <c r="E22" s="48"/>
      <c r="F22" s="48"/>
      <c r="G22" s="48"/>
      <c r="H22" s="62"/>
      <c r="I22" s="62"/>
      <c r="J22" s="52"/>
    </row>
    <row r="23" spans="1:10" ht="34.9" customHeight="1" x14ac:dyDescent="0.25">
      <c r="A23" s="47" t="s">
        <v>107</v>
      </c>
      <c r="B23" s="47">
        <v>2202</v>
      </c>
      <c r="C23" s="48">
        <f>'Таблиця 1'!C98</f>
        <v>3400.5</v>
      </c>
      <c r="D23" s="48">
        <f>'Таблиця 1'!D98</f>
        <v>3579.8</v>
      </c>
      <c r="E23" s="48">
        <f>SUM(F23:I23)</f>
        <v>3836.4</v>
      </c>
      <c r="F23" s="48">
        <f>'Таблиця 1'!F98</f>
        <v>1078.6000000000001</v>
      </c>
      <c r="G23" s="48">
        <f>'Таблиця 1'!G98</f>
        <v>857.4</v>
      </c>
      <c r="H23" s="48">
        <f>'Таблиця 1'!H98</f>
        <v>857.4</v>
      </c>
      <c r="I23" s="48">
        <f>'Таблиця 1'!I98</f>
        <v>1043</v>
      </c>
      <c r="J23" s="52"/>
    </row>
    <row r="24" spans="1:10" ht="25.9" customHeight="1" x14ac:dyDescent="0.25">
      <c r="A24" s="47" t="s">
        <v>108</v>
      </c>
      <c r="B24" s="47">
        <v>2203</v>
      </c>
      <c r="C24" s="48"/>
      <c r="D24" s="48"/>
      <c r="E24" s="48"/>
      <c r="F24" s="48"/>
      <c r="G24" s="48"/>
      <c r="H24" s="62"/>
      <c r="I24" s="62"/>
      <c r="J24" s="52"/>
    </row>
    <row r="25" spans="1:10" ht="24" customHeight="1" x14ac:dyDescent="0.25">
      <c r="A25" s="47" t="s">
        <v>109</v>
      </c>
      <c r="B25" s="47">
        <v>2204</v>
      </c>
      <c r="C25" s="48">
        <f>'Таблиця 1'!C97*1.5%</f>
        <v>261.36750000000001</v>
      </c>
      <c r="D25" s="48">
        <f>'Таблиця 1'!D97*1.5%</f>
        <v>276.06600000000003</v>
      </c>
      <c r="E25" s="48">
        <f>SUM(F25:I25)</f>
        <v>266.80799999999999</v>
      </c>
      <c r="F25" s="48">
        <f>'Таблиця 1'!F97*1.5%</f>
        <v>75.052499999999995</v>
      </c>
      <c r="G25" s="48">
        <f>'Таблиця 1'!G97*1.5%</f>
        <v>59.972999999999992</v>
      </c>
      <c r="H25" s="48">
        <f>'Таблиця 1'!H97*1.5%</f>
        <v>59.972999999999992</v>
      </c>
      <c r="I25" s="48">
        <f>'Таблиця 1'!I97*1.5%</f>
        <v>71.8095</v>
      </c>
      <c r="J25" s="52"/>
    </row>
    <row r="26" spans="1:10" s="56" customFormat="1" ht="31.9" customHeight="1" x14ac:dyDescent="0.25">
      <c r="A26" s="54" t="s">
        <v>110</v>
      </c>
      <c r="B26" s="54">
        <v>2300</v>
      </c>
      <c r="C26" s="61">
        <f t="shared" ref="C26:H26" si="5">SUM(C27:C28)</f>
        <v>0</v>
      </c>
      <c r="D26" s="61">
        <f t="shared" si="5"/>
        <v>0</v>
      </c>
      <c r="E26" s="61">
        <f>SUM(F26:I26)</f>
        <v>0</v>
      </c>
      <c r="F26" s="61">
        <f t="shared" si="5"/>
        <v>0</v>
      </c>
      <c r="G26" s="61">
        <f t="shared" si="5"/>
        <v>0</v>
      </c>
      <c r="H26" s="61">
        <f t="shared" si="5"/>
        <v>0</v>
      </c>
      <c r="I26" s="61">
        <f>SUM(I27:I28)</f>
        <v>0</v>
      </c>
      <c r="J26" s="55"/>
    </row>
    <row r="27" spans="1:10" ht="52.9" customHeight="1" x14ac:dyDescent="0.25">
      <c r="A27" s="47" t="s">
        <v>111</v>
      </c>
      <c r="B27" s="47">
        <v>2301</v>
      </c>
      <c r="C27" s="48"/>
      <c r="D27" s="48"/>
      <c r="E27" s="48"/>
      <c r="F27" s="48"/>
      <c r="G27" s="48"/>
      <c r="H27" s="62"/>
      <c r="I27" s="62"/>
      <c r="J27" s="52"/>
    </row>
    <row r="28" spans="1:10" ht="24.6" customHeight="1" x14ac:dyDescent="0.25">
      <c r="A28" s="47" t="s">
        <v>112</v>
      </c>
      <c r="B28" s="47">
        <v>2302</v>
      </c>
      <c r="C28" s="48"/>
      <c r="D28" s="48"/>
      <c r="E28" s="48"/>
      <c r="F28" s="48"/>
      <c r="G28" s="48"/>
      <c r="H28" s="62"/>
      <c r="I28" s="62"/>
      <c r="J28" s="52"/>
    </row>
    <row r="29" spans="1:10" ht="12.6" customHeight="1" x14ac:dyDescent="0.25">
      <c r="A29" s="52"/>
      <c r="B29" s="52"/>
      <c r="C29" s="52"/>
      <c r="D29" s="52"/>
      <c r="E29" s="63"/>
      <c r="F29" s="63"/>
      <c r="G29" s="52"/>
    </row>
    <row r="30" spans="1:10" ht="16.149999999999999" customHeight="1" thickBot="1" x14ac:dyDescent="0.3">
      <c r="A30" s="64" t="s">
        <v>179</v>
      </c>
      <c r="B30" s="58"/>
      <c r="C30" s="58"/>
      <c r="D30" s="58"/>
      <c r="E30" s="114"/>
      <c r="F30" s="114"/>
      <c r="G30" s="114" t="s">
        <v>162</v>
      </c>
      <c r="H30" s="114"/>
      <c r="I30" s="114"/>
    </row>
    <row r="31" spans="1:10" ht="14.45" customHeight="1" x14ac:dyDescent="0.25">
      <c r="A31" s="59" t="s">
        <v>86</v>
      </c>
      <c r="B31" s="96" t="s">
        <v>87</v>
      </c>
      <c r="C31" s="96"/>
      <c r="D31" s="96"/>
      <c r="E31" s="116"/>
      <c r="F31" s="116"/>
      <c r="G31" s="116" t="s">
        <v>88</v>
      </c>
      <c r="H31" s="116"/>
      <c r="I31" s="116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Normal="100" zoomScaleSheetLayoutView="100" workbookViewId="0">
      <selection activeCell="A44" sqref="A44:XFD44"/>
    </sheetView>
  </sheetViews>
  <sheetFormatPr defaultColWidth="8.85546875" defaultRowHeight="15.75" x14ac:dyDescent="0.25"/>
  <cols>
    <col min="1" max="1" width="47.28515625" style="50" customWidth="1"/>
    <col min="2" max="2" width="9.140625" style="50" bestFit="1" customWidth="1"/>
    <col min="3" max="3" width="11.7109375" style="35" customWidth="1"/>
    <col min="4" max="4" width="12.7109375" style="35" customWidth="1"/>
    <col min="5" max="5" width="13.7109375" style="35" customWidth="1"/>
    <col min="6" max="6" width="12" style="35" customWidth="1"/>
    <col min="7" max="8" width="9.140625" style="35" bestFit="1" customWidth="1"/>
    <col min="9" max="9" width="11.5703125" style="35" bestFit="1" customWidth="1"/>
    <col min="10" max="16384" width="8.85546875" style="35"/>
  </cols>
  <sheetData>
    <row r="1" spans="1:9" s="50" customFormat="1" x14ac:dyDescent="0.25">
      <c r="A1" s="51"/>
      <c r="F1" s="51"/>
      <c r="H1" s="113" t="s">
        <v>191</v>
      </c>
      <c r="I1" s="113"/>
    </row>
    <row r="2" spans="1:9" s="50" customFormat="1" x14ac:dyDescent="0.25">
      <c r="A2" s="115" t="s">
        <v>113</v>
      </c>
      <c r="B2" s="115"/>
      <c r="C2" s="115"/>
      <c r="D2" s="115"/>
      <c r="E2" s="115"/>
      <c r="F2" s="115"/>
      <c r="G2" s="115"/>
      <c r="H2" s="115"/>
      <c r="I2" s="115"/>
    </row>
    <row r="3" spans="1:9" s="50" customFormat="1" x14ac:dyDescent="0.25"/>
    <row r="4" spans="1:9" s="50" customFormat="1" ht="15" customHeight="1" x14ac:dyDescent="0.25">
      <c r="A4" s="117" t="s">
        <v>15</v>
      </c>
      <c r="B4" s="117" t="s">
        <v>89</v>
      </c>
      <c r="C4" s="117" t="s">
        <v>189</v>
      </c>
      <c r="D4" s="117" t="s">
        <v>188</v>
      </c>
      <c r="E4" s="117" t="s">
        <v>190</v>
      </c>
      <c r="F4" s="117" t="s">
        <v>181</v>
      </c>
      <c r="G4" s="117"/>
      <c r="H4" s="117"/>
      <c r="I4" s="117"/>
    </row>
    <row r="5" spans="1:9" s="50" customFormat="1" ht="48" customHeight="1" x14ac:dyDescent="0.25">
      <c r="A5" s="117"/>
      <c r="B5" s="117"/>
      <c r="C5" s="117"/>
      <c r="D5" s="117"/>
      <c r="E5" s="117"/>
      <c r="F5" s="65" t="s">
        <v>182</v>
      </c>
      <c r="G5" s="65" t="s">
        <v>183</v>
      </c>
      <c r="H5" s="65" t="s">
        <v>184</v>
      </c>
      <c r="I5" s="65" t="s">
        <v>185</v>
      </c>
    </row>
    <row r="6" spans="1:9" s="50" customFormat="1" x14ac:dyDescent="0.25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53">
        <v>9</v>
      </c>
    </row>
    <row r="7" spans="1:9" s="50" customFormat="1" ht="15" customHeight="1" x14ac:dyDescent="0.25">
      <c r="A7" s="121" t="s">
        <v>114</v>
      </c>
      <c r="B7" s="121"/>
      <c r="C7" s="121"/>
      <c r="D7" s="121"/>
      <c r="E7" s="121"/>
      <c r="F7" s="121"/>
      <c r="G7" s="121"/>
      <c r="H7" s="121"/>
      <c r="I7" s="121"/>
    </row>
    <row r="8" spans="1:9" s="50" customFormat="1" ht="34.15" customHeight="1" x14ac:dyDescent="0.25">
      <c r="A8" s="66" t="s">
        <v>115</v>
      </c>
      <c r="B8" s="87">
        <v>3000</v>
      </c>
      <c r="C8" s="88">
        <f t="shared" ref="C8:D8" si="0">SUM(C9:C13)</f>
        <v>24518.2</v>
      </c>
      <c r="D8" s="88">
        <f t="shared" si="0"/>
        <v>26067.800000000003</v>
      </c>
      <c r="E8" s="89">
        <f>SUM(F8:I8)</f>
        <v>26661.599999999999</v>
      </c>
      <c r="F8" s="89">
        <f>SUM(F9:F13)</f>
        <v>7118.8</v>
      </c>
      <c r="G8" s="89">
        <f t="shared" ref="G8" si="1">SUM(G9:G13)</f>
        <v>6223.9</v>
      </c>
      <c r="H8" s="89">
        <f>SUM(H9:H13)</f>
        <v>6369.8</v>
      </c>
      <c r="I8" s="89">
        <f>SUM(I9:I13)</f>
        <v>6949.1</v>
      </c>
    </row>
    <row r="9" spans="1:9" s="50" customFormat="1" ht="42" customHeight="1" x14ac:dyDescent="0.25">
      <c r="A9" s="68" t="s">
        <v>116</v>
      </c>
      <c r="B9" s="65">
        <v>3001</v>
      </c>
      <c r="C9" s="88"/>
      <c r="D9" s="88"/>
      <c r="E9" s="88">
        <f t="shared" ref="E9:E12" si="2">SUM(F9:I9)</f>
        <v>151.5</v>
      </c>
      <c r="F9" s="88">
        <v>37.5</v>
      </c>
      <c r="G9" s="88">
        <v>37.5</v>
      </c>
      <c r="H9" s="88">
        <v>37.5</v>
      </c>
      <c r="I9" s="88">
        <v>39</v>
      </c>
    </row>
    <row r="10" spans="1:9" ht="23.45" customHeight="1" x14ac:dyDescent="0.25">
      <c r="A10" s="69" t="s">
        <v>18</v>
      </c>
      <c r="B10" s="65">
        <v>3002</v>
      </c>
      <c r="C10" s="88">
        <f>'Таблиця 1'!C26</f>
        <v>2691.2</v>
      </c>
      <c r="D10" s="88">
        <f>'Таблиця 1'!D26</f>
        <v>2167.9</v>
      </c>
      <c r="E10" s="88">
        <f t="shared" si="2"/>
        <v>3883.6</v>
      </c>
      <c r="F10" s="88">
        <f>'Таблиця 1'!F26</f>
        <v>1180.3</v>
      </c>
      <c r="G10" s="88">
        <f>'Таблиця 1'!G26</f>
        <v>827.4</v>
      </c>
      <c r="H10" s="88">
        <f>'Таблиця 1'!H26</f>
        <v>704.3</v>
      </c>
      <c r="I10" s="88">
        <f>'Таблиця 1'!I26</f>
        <v>1171.5999999999999</v>
      </c>
    </row>
    <row r="11" spans="1:9" ht="26.45" customHeight="1" x14ac:dyDescent="0.25">
      <c r="A11" s="69" t="s">
        <v>19</v>
      </c>
      <c r="B11" s="65">
        <v>3003</v>
      </c>
      <c r="C11" s="88"/>
      <c r="D11" s="88"/>
      <c r="E11" s="88"/>
      <c r="F11" s="88"/>
      <c r="G11" s="88"/>
      <c r="H11" s="88"/>
      <c r="I11" s="88"/>
    </row>
    <row r="12" spans="1:9" x14ac:dyDescent="0.25">
      <c r="A12" s="69" t="s">
        <v>20</v>
      </c>
      <c r="B12" s="65">
        <v>3004</v>
      </c>
      <c r="C12" s="88">
        <f>'Таблиця 1'!C28</f>
        <v>20120.5</v>
      </c>
      <c r="D12" s="88">
        <f>'Таблиця 1'!D28</f>
        <v>21221.3</v>
      </c>
      <c r="E12" s="88">
        <f t="shared" si="2"/>
        <v>22616</v>
      </c>
      <c r="F12" s="88">
        <f>'Таблиця 1'!F28</f>
        <v>5898</v>
      </c>
      <c r="G12" s="88">
        <f>'Таблиця 1'!G28</f>
        <v>5356</v>
      </c>
      <c r="H12" s="88">
        <f>'Таблиця 1'!H28</f>
        <v>5625</v>
      </c>
      <c r="I12" s="88">
        <f>'Таблиця 1'!I28</f>
        <v>5737</v>
      </c>
    </row>
    <row r="13" spans="1:9" x14ac:dyDescent="0.25">
      <c r="A13" s="69" t="s">
        <v>21</v>
      </c>
      <c r="B13" s="65">
        <v>3005</v>
      </c>
      <c r="C13" s="88">
        <f>'Таблиця 1'!C29-C20-C9</f>
        <v>1706.5</v>
      </c>
      <c r="D13" s="88">
        <f>'Таблиця 1'!D29-D20-D9</f>
        <v>2678.6000000000022</v>
      </c>
      <c r="E13" s="88">
        <f>SUM(F13:I13)</f>
        <v>10.5</v>
      </c>
      <c r="F13" s="88">
        <f>'Таблиця 1'!F29-F20-F9</f>
        <v>3</v>
      </c>
      <c r="G13" s="88">
        <f>'Таблиця 1'!G29-G20-G9</f>
        <v>3</v>
      </c>
      <c r="H13" s="88">
        <f>'Таблиця 1'!H29-H20-H9</f>
        <v>3</v>
      </c>
      <c r="I13" s="88">
        <f>'Таблиця 1'!I29-I20-I9</f>
        <v>1.5</v>
      </c>
    </row>
    <row r="14" spans="1:9" ht="24" customHeight="1" x14ac:dyDescent="0.25">
      <c r="A14" s="68" t="s">
        <v>117</v>
      </c>
      <c r="B14" s="65">
        <v>3100</v>
      </c>
      <c r="C14" s="37"/>
      <c r="D14" s="37"/>
      <c r="E14" s="37"/>
      <c r="F14" s="37"/>
      <c r="G14" s="37"/>
      <c r="H14" s="37"/>
      <c r="I14" s="37"/>
    </row>
    <row r="15" spans="1:9" ht="20.45" customHeight="1" x14ac:dyDescent="0.25">
      <c r="A15" s="68" t="s">
        <v>118</v>
      </c>
      <c r="B15" s="65">
        <v>3101</v>
      </c>
      <c r="C15" s="37"/>
      <c r="D15" s="37"/>
      <c r="E15" s="37"/>
      <c r="F15" s="37"/>
      <c r="G15" s="37"/>
      <c r="H15" s="37"/>
      <c r="I15" s="37"/>
    </row>
    <row r="16" spans="1:9" ht="18.600000000000001" customHeight="1" x14ac:dyDescent="0.25">
      <c r="A16" s="68" t="s">
        <v>119</v>
      </c>
      <c r="B16" s="65">
        <v>3200</v>
      </c>
      <c r="C16" s="37"/>
      <c r="D16" s="37"/>
      <c r="E16" s="37"/>
      <c r="F16" s="37"/>
      <c r="G16" s="37"/>
      <c r="H16" s="37"/>
      <c r="I16" s="37"/>
    </row>
    <row r="17" spans="1:9" ht="22.9" customHeight="1" x14ac:dyDescent="0.25">
      <c r="A17" s="68" t="s">
        <v>120</v>
      </c>
      <c r="B17" s="65">
        <v>3300</v>
      </c>
      <c r="C17" s="37"/>
      <c r="D17" s="37"/>
      <c r="E17" s="37"/>
      <c r="F17" s="37"/>
      <c r="G17" s="37"/>
      <c r="H17" s="37"/>
      <c r="I17" s="37"/>
    </row>
    <row r="18" spans="1:9" ht="29.45" customHeight="1" x14ac:dyDescent="0.25">
      <c r="A18" s="68" t="s">
        <v>121</v>
      </c>
      <c r="B18" s="65">
        <v>3400</v>
      </c>
      <c r="C18" s="37"/>
      <c r="D18" s="37"/>
      <c r="E18" s="37"/>
      <c r="F18" s="37"/>
      <c r="G18" s="37"/>
      <c r="H18" s="37"/>
      <c r="I18" s="37"/>
    </row>
    <row r="19" spans="1:9" ht="24" customHeight="1" x14ac:dyDescent="0.25">
      <c r="A19" s="68" t="s">
        <v>122</v>
      </c>
      <c r="B19" s="65">
        <v>3500</v>
      </c>
      <c r="C19" s="37"/>
      <c r="D19" s="37"/>
      <c r="E19" s="37"/>
      <c r="F19" s="37"/>
      <c r="G19" s="37"/>
      <c r="H19" s="37"/>
      <c r="I19" s="37"/>
    </row>
    <row r="20" spans="1:9" ht="30.6" customHeight="1" x14ac:dyDescent="0.25">
      <c r="A20" s="68" t="s">
        <v>123</v>
      </c>
      <c r="B20" s="65">
        <v>3600</v>
      </c>
      <c r="C20" s="37"/>
      <c r="D20" s="37"/>
      <c r="E20" s="37"/>
      <c r="F20" s="37"/>
      <c r="G20" s="37"/>
      <c r="H20" s="37"/>
      <c r="I20" s="37"/>
    </row>
    <row r="21" spans="1:9" s="50" customFormat="1" ht="30.6" customHeight="1" x14ac:dyDescent="0.25">
      <c r="A21" s="66" t="s">
        <v>124</v>
      </c>
      <c r="B21" s="65">
        <v>3700</v>
      </c>
      <c r="C21" s="89">
        <f>'Таблиця 1'!C91</f>
        <v>24075.3</v>
      </c>
      <c r="D21" s="89">
        <f>'Таблиця 1'!D91</f>
        <v>26064.6</v>
      </c>
      <c r="E21" s="89">
        <f>SUM(F21:I21)</f>
        <v>25461.1</v>
      </c>
      <c r="F21" s="89">
        <f>'Таблиця 1'!F91</f>
        <v>7098.8</v>
      </c>
      <c r="G21" s="89">
        <f>'Таблиця 1'!G91</f>
        <v>5774.4</v>
      </c>
      <c r="H21" s="89">
        <f>'Таблиця 1'!H91</f>
        <v>5638.7999999999993</v>
      </c>
      <c r="I21" s="89">
        <f>'Таблиця 1'!I91</f>
        <v>6949.1</v>
      </c>
    </row>
    <row r="22" spans="1:9" ht="36" customHeight="1" x14ac:dyDescent="0.25">
      <c r="A22" s="68" t="s">
        <v>125</v>
      </c>
      <c r="B22" s="65">
        <v>3701</v>
      </c>
      <c r="C22" s="37"/>
      <c r="D22" s="37"/>
      <c r="E22" s="37"/>
      <c r="F22" s="37"/>
      <c r="G22" s="37"/>
      <c r="H22" s="37"/>
      <c r="I22" s="37"/>
    </row>
    <row r="23" spans="1:9" s="50" customFormat="1" ht="24" customHeight="1" x14ac:dyDescent="0.25">
      <c r="A23" s="68" t="s">
        <v>126</v>
      </c>
      <c r="B23" s="65">
        <v>3702</v>
      </c>
      <c r="C23" s="88">
        <f>'Таблиця 1'!C97</f>
        <v>17424.5</v>
      </c>
      <c r="D23" s="88">
        <f>'Таблиця 1'!D97</f>
        <v>18404.400000000001</v>
      </c>
      <c r="E23" s="88">
        <f>SUM(F23:I23)</f>
        <v>17787.2</v>
      </c>
      <c r="F23" s="88">
        <f>'Таблиця 1'!F97</f>
        <v>5003.5</v>
      </c>
      <c r="G23" s="88">
        <f>'Таблиця 1'!G97</f>
        <v>3998.2</v>
      </c>
      <c r="H23" s="88">
        <f>'Таблиця 1'!H97</f>
        <v>3998.2</v>
      </c>
      <c r="I23" s="88">
        <f>'Таблиця 1'!I97</f>
        <v>4787.3</v>
      </c>
    </row>
    <row r="24" spans="1:9" ht="38.450000000000003" customHeight="1" x14ac:dyDescent="0.25">
      <c r="A24" s="68" t="s">
        <v>127</v>
      </c>
      <c r="B24" s="65">
        <v>3703</v>
      </c>
      <c r="C24" s="37"/>
      <c r="D24" s="37"/>
      <c r="E24" s="37"/>
      <c r="F24" s="37"/>
      <c r="G24" s="37"/>
      <c r="H24" s="37"/>
      <c r="I24" s="37"/>
    </row>
    <row r="25" spans="1:9" s="50" customFormat="1" ht="48" customHeight="1" x14ac:dyDescent="0.25">
      <c r="A25" s="68" t="s">
        <v>128</v>
      </c>
      <c r="B25" s="65">
        <v>3800</v>
      </c>
      <c r="C25" s="88">
        <f>C26+'Таблиця 2'!C23+'Таблиця 2'!C25</f>
        <v>6798.2775000000001</v>
      </c>
      <c r="D25" s="88">
        <f>D26+'Таблиця 2'!D23+'Таблиця 2'!D25</f>
        <v>7168.6580000000004</v>
      </c>
      <c r="E25" s="88">
        <f>SUM(F25:I25)</f>
        <v>7304.9039999999995</v>
      </c>
      <c r="F25" s="88">
        <f>F26+'Таблиця 2'!F23+'Таблиця 2'!F25</f>
        <v>2054.2824999999998</v>
      </c>
      <c r="G25" s="88">
        <f>G26+'Таблиця 2'!G23+'Таблиця 2'!G25</f>
        <v>1637.049</v>
      </c>
      <c r="H25" s="88">
        <f>H26+'Таблиця 2'!H23+'Таблиця 2'!H25</f>
        <v>1637.049</v>
      </c>
      <c r="I25" s="88">
        <f>I26+'Таблиця 2'!I23+'Таблиця 2'!I25</f>
        <v>1976.5235</v>
      </c>
    </row>
    <row r="26" spans="1:9" s="50" customFormat="1" ht="24" customHeight="1" x14ac:dyDescent="0.25">
      <c r="A26" s="68" t="s">
        <v>200</v>
      </c>
      <c r="B26" s="65">
        <v>3801</v>
      </c>
      <c r="C26" s="88">
        <f>'Таблиця 2'!C16</f>
        <v>3136.41</v>
      </c>
      <c r="D26" s="88">
        <f>'Таблиця 2'!D16</f>
        <v>3312.7919999999999</v>
      </c>
      <c r="E26" s="88">
        <f>SUM(F26:I26)</f>
        <v>3201.6959999999999</v>
      </c>
      <c r="F26" s="88">
        <f>'Таблиця 2'!F16</f>
        <v>900.63</v>
      </c>
      <c r="G26" s="88">
        <f>'Таблиця 2'!G16</f>
        <v>719.67599999999993</v>
      </c>
      <c r="H26" s="88">
        <f>'Таблиця 2'!H16</f>
        <v>719.67599999999993</v>
      </c>
      <c r="I26" s="88">
        <f>'Таблиця 2'!I16</f>
        <v>861.71400000000006</v>
      </c>
    </row>
    <row r="27" spans="1:9" ht="23.45" customHeight="1" x14ac:dyDescent="0.25">
      <c r="A27" s="68" t="s">
        <v>129</v>
      </c>
      <c r="B27" s="65">
        <v>3900</v>
      </c>
      <c r="C27" s="37"/>
      <c r="D27" s="37"/>
      <c r="E27" s="37"/>
      <c r="F27" s="37"/>
      <c r="G27" s="37"/>
      <c r="H27" s="37"/>
      <c r="I27" s="37"/>
    </row>
    <row r="28" spans="1:9" ht="21" customHeight="1" x14ac:dyDescent="0.25">
      <c r="A28" s="68" t="s">
        <v>130</v>
      </c>
      <c r="B28" s="65">
        <v>4000</v>
      </c>
      <c r="C28" s="37"/>
      <c r="D28" s="37"/>
      <c r="E28" s="37"/>
      <c r="F28" s="37"/>
      <c r="G28" s="37"/>
      <c r="H28" s="37"/>
      <c r="I28" s="37"/>
    </row>
    <row r="29" spans="1:9" ht="22.9" customHeight="1" x14ac:dyDescent="0.25">
      <c r="A29" s="68" t="s">
        <v>30</v>
      </c>
      <c r="B29" s="65">
        <v>5000</v>
      </c>
      <c r="C29" s="37"/>
      <c r="D29" s="37"/>
      <c r="E29" s="37"/>
      <c r="F29" s="37"/>
      <c r="G29" s="37"/>
      <c r="H29" s="37"/>
      <c r="I29" s="37"/>
    </row>
    <row r="30" spans="1:9" ht="33" customHeight="1" x14ac:dyDescent="0.25">
      <c r="A30" s="66" t="s">
        <v>131</v>
      </c>
      <c r="B30" s="65">
        <v>6000</v>
      </c>
      <c r="C30" s="37"/>
      <c r="D30" s="37"/>
      <c r="E30" s="37"/>
      <c r="F30" s="37"/>
      <c r="G30" s="37"/>
      <c r="H30" s="37"/>
      <c r="I30" s="37"/>
    </row>
    <row r="31" spans="1:9" s="50" customFormat="1" ht="15" customHeight="1" x14ac:dyDescent="0.25">
      <c r="A31" s="121" t="s">
        <v>132</v>
      </c>
      <c r="B31" s="121"/>
      <c r="C31" s="121"/>
      <c r="D31" s="121"/>
      <c r="E31" s="121"/>
      <c r="F31" s="121"/>
      <c r="G31" s="121"/>
      <c r="H31" s="121"/>
      <c r="I31" s="121"/>
    </row>
    <row r="32" spans="1:9" ht="38.450000000000003" customHeight="1" x14ac:dyDescent="0.25">
      <c r="A32" s="66" t="s">
        <v>133</v>
      </c>
      <c r="B32" s="65">
        <v>7000</v>
      </c>
      <c r="C32" s="37"/>
      <c r="D32" s="37"/>
      <c r="E32" s="37"/>
      <c r="F32" s="38"/>
      <c r="G32" s="38"/>
      <c r="H32" s="38"/>
      <c r="I32" s="38"/>
    </row>
    <row r="33" spans="1:9" ht="32.450000000000003" customHeight="1" x14ac:dyDescent="0.25">
      <c r="A33" s="68" t="s">
        <v>134</v>
      </c>
      <c r="B33" s="65">
        <v>7001</v>
      </c>
      <c r="C33" s="37"/>
      <c r="D33" s="37"/>
      <c r="E33" s="37"/>
      <c r="F33" s="38"/>
      <c r="G33" s="38"/>
      <c r="H33" s="38"/>
      <c r="I33" s="38"/>
    </row>
    <row r="34" spans="1:9" ht="25.9" customHeight="1" x14ac:dyDescent="0.25">
      <c r="A34" s="68" t="s">
        <v>122</v>
      </c>
      <c r="B34" s="65">
        <v>7002</v>
      </c>
      <c r="C34" s="37"/>
      <c r="D34" s="37"/>
      <c r="E34" s="37"/>
      <c r="F34" s="38"/>
      <c r="G34" s="38"/>
      <c r="H34" s="38"/>
      <c r="I34" s="38"/>
    </row>
    <row r="35" spans="1:9" ht="39" customHeight="1" x14ac:dyDescent="0.25">
      <c r="A35" s="68" t="s">
        <v>135</v>
      </c>
      <c r="B35" s="65">
        <v>8000</v>
      </c>
      <c r="C35" s="37"/>
      <c r="D35" s="37"/>
      <c r="E35" s="37"/>
      <c r="F35" s="38"/>
      <c r="G35" s="38"/>
      <c r="H35" s="38"/>
      <c r="I35" s="38"/>
    </row>
    <row r="36" spans="1:9" ht="40.9" customHeight="1" x14ac:dyDescent="0.25">
      <c r="A36" s="68" t="s">
        <v>136</v>
      </c>
      <c r="B36" s="65">
        <v>8001</v>
      </c>
      <c r="C36" s="37"/>
      <c r="D36" s="37"/>
      <c r="E36" s="37"/>
      <c r="F36" s="38"/>
      <c r="G36" s="38"/>
      <c r="H36" s="38"/>
      <c r="I36" s="38"/>
    </row>
    <row r="37" spans="1:9" ht="36.6" customHeight="1" x14ac:dyDescent="0.25">
      <c r="A37" s="68" t="s">
        <v>137</v>
      </c>
      <c r="B37" s="65">
        <v>8002</v>
      </c>
      <c r="C37" s="37"/>
      <c r="D37" s="37"/>
      <c r="E37" s="37"/>
      <c r="F37" s="38"/>
      <c r="G37" s="38"/>
      <c r="H37" s="38"/>
      <c r="I37" s="38"/>
    </row>
    <row r="38" spans="1:9" ht="27" customHeight="1" x14ac:dyDescent="0.25">
      <c r="A38" s="68" t="s">
        <v>30</v>
      </c>
      <c r="B38" s="65">
        <v>8003</v>
      </c>
      <c r="C38" s="37"/>
      <c r="D38" s="37"/>
      <c r="E38" s="37"/>
      <c r="F38" s="38"/>
      <c r="G38" s="38"/>
      <c r="H38" s="38"/>
      <c r="I38" s="38"/>
    </row>
    <row r="39" spans="1:9" ht="51" customHeight="1" x14ac:dyDescent="0.25">
      <c r="A39" s="68" t="s">
        <v>138</v>
      </c>
      <c r="B39" s="65">
        <v>9000</v>
      </c>
      <c r="C39" s="37"/>
      <c r="D39" s="37"/>
      <c r="E39" s="37"/>
      <c r="F39" s="38"/>
      <c r="G39" s="38"/>
      <c r="H39" s="38"/>
      <c r="I39" s="38"/>
    </row>
    <row r="40" spans="1:9" x14ac:dyDescent="0.25">
      <c r="A40" s="68" t="s">
        <v>139</v>
      </c>
      <c r="B40" s="65">
        <v>9001</v>
      </c>
      <c r="C40" s="37"/>
      <c r="D40" s="37"/>
      <c r="E40" s="37"/>
      <c r="F40" s="38"/>
      <c r="G40" s="38"/>
      <c r="H40" s="38"/>
      <c r="I40" s="38"/>
    </row>
    <row r="41" spans="1:9" ht="33" customHeight="1" x14ac:dyDescent="0.25">
      <c r="A41" s="66" t="s">
        <v>140</v>
      </c>
      <c r="B41" s="65">
        <v>10000</v>
      </c>
      <c r="C41" s="37"/>
      <c r="D41" s="37"/>
      <c r="E41" s="37"/>
      <c r="F41" s="38"/>
      <c r="G41" s="38"/>
      <c r="H41" s="38"/>
      <c r="I41" s="38"/>
    </row>
    <row r="42" spans="1:9" s="50" customFormat="1" ht="32.450000000000003" customHeight="1" x14ac:dyDescent="0.25">
      <c r="A42" s="66" t="s">
        <v>141</v>
      </c>
      <c r="B42" s="65">
        <v>10100</v>
      </c>
      <c r="C42" s="90">
        <f t="shared" ref="C42:E42" si="3">C8</f>
        <v>24518.2</v>
      </c>
      <c r="D42" s="90">
        <f t="shared" si="3"/>
        <v>26067.800000000003</v>
      </c>
      <c r="E42" s="90">
        <f t="shared" si="3"/>
        <v>26661.599999999999</v>
      </c>
      <c r="F42" s="90">
        <f>F8</f>
        <v>7118.8</v>
      </c>
      <c r="G42" s="90">
        <f t="shared" ref="G42:I42" si="4">G8</f>
        <v>6223.9</v>
      </c>
      <c r="H42" s="90">
        <f t="shared" si="4"/>
        <v>6369.8</v>
      </c>
      <c r="I42" s="90">
        <f t="shared" si="4"/>
        <v>6949.1</v>
      </c>
    </row>
    <row r="43" spans="1:9" s="50" customFormat="1" ht="30" customHeight="1" x14ac:dyDescent="0.25">
      <c r="A43" s="68" t="s">
        <v>142</v>
      </c>
      <c r="B43" s="65">
        <v>10200</v>
      </c>
      <c r="C43" s="90">
        <f>'Таблиця 2'!C8</f>
        <v>202.4</v>
      </c>
      <c r="D43" s="90">
        <f>'Таблиця 2'!D8</f>
        <v>0</v>
      </c>
      <c r="E43" s="90">
        <f>'Таблиця 2'!E8</f>
        <v>0</v>
      </c>
      <c r="F43" s="90">
        <f>'Таблиця 2'!F8</f>
        <v>0</v>
      </c>
      <c r="G43" s="90">
        <f>'Таблиця 2'!G8</f>
        <v>20</v>
      </c>
      <c r="H43" s="90">
        <f>'Таблиця 2'!H8</f>
        <v>469.5</v>
      </c>
      <c r="I43" s="90">
        <f>'Таблиця 2'!I8</f>
        <v>5.0999999999999996</v>
      </c>
    </row>
    <row r="44" spans="1:9" s="50" customFormat="1" ht="22.9" customHeight="1" x14ac:dyDescent="0.25">
      <c r="A44" s="68" t="s">
        <v>143</v>
      </c>
      <c r="B44" s="65">
        <v>10300</v>
      </c>
      <c r="C44" s="90">
        <f>'Таблиця 2'!C14</f>
        <v>442.90000000000146</v>
      </c>
      <c r="D44" s="90">
        <f>'Таблиця 2'!D14</f>
        <v>3.2000000000043656</v>
      </c>
      <c r="E44" s="90">
        <f>'Таблиця 2'!E14</f>
        <v>0</v>
      </c>
      <c r="F44" s="90">
        <f>'Таблиця 2'!F14</f>
        <v>20</v>
      </c>
      <c r="G44" s="90">
        <f>'Таблиця 2'!G14</f>
        <v>469.5</v>
      </c>
      <c r="H44" s="90">
        <f>'Таблиця 2'!H14</f>
        <v>1200.5000000000009</v>
      </c>
      <c r="I44" s="90">
        <f>'Таблиця 2'!I14</f>
        <v>0</v>
      </c>
    </row>
    <row r="45" spans="1:9" s="50" customFormat="1" x14ac:dyDescent="0.25"/>
    <row r="46" spans="1:9" s="50" customFormat="1" x14ac:dyDescent="0.25"/>
    <row r="47" spans="1:9" s="50" customFormat="1" ht="15" customHeight="1" thickBot="1" x14ac:dyDescent="0.3">
      <c r="A47" s="64" t="s">
        <v>179</v>
      </c>
      <c r="B47" s="70"/>
      <c r="C47" s="70"/>
      <c r="D47" s="70"/>
      <c r="E47" s="120"/>
      <c r="F47" s="120"/>
      <c r="G47" s="119" t="s">
        <v>162</v>
      </c>
      <c r="H47" s="119"/>
      <c r="I47" s="119"/>
    </row>
    <row r="48" spans="1:9" s="50" customFormat="1" ht="24" customHeight="1" x14ac:dyDescent="0.25">
      <c r="A48" s="71" t="s">
        <v>86</v>
      </c>
      <c r="B48" s="118" t="s">
        <v>87</v>
      </c>
      <c r="C48" s="118"/>
      <c r="D48" s="118"/>
      <c r="E48" s="118"/>
      <c r="F48" s="118"/>
      <c r="G48" s="118" t="s">
        <v>88</v>
      </c>
      <c r="H48" s="118"/>
      <c r="I48" s="118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F9" sqref="C9:F9"/>
    </sheetView>
  </sheetViews>
  <sheetFormatPr defaultColWidth="8.85546875" defaultRowHeight="15" x14ac:dyDescent="0.25"/>
  <cols>
    <col min="1" max="1" width="39.140625" style="73" customWidth="1"/>
    <col min="2" max="2" width="8.85546875" style="73"/>
    <col min="3" max="3" width="11.85546875" style="73" customWidth="1"/>
    <col min="4" max="4" width="10.85546875" style="73" customWidth="1"/>
    <col min="5" max="5" width="11.7109375" style="73" customWidth="1"/>
    <col min="6" max="6" width="12" style="73" customWidth="1"/>
    <col min="7" max="7" width="10.7109375" style="73" customWidth="1"/>
    <col min="8" max="8" width="10.140625" style="73" customWidth="1"/>
    <col min="9" max="9" width="10.28515625" style="73" customWidth="1"/>
    <col min="10" max="16384" width="8.85546875" style="73"/>
  </cols>
  <sheetData>
    <row r="1" spans="1:9" x14ac:dyDescent="0.25">
      <c r="A1" s="72"/>
      <c r="F1" s="72"/>
      <c r="H1" s="122" t="s">
        <v>144</v>
      </c>
      <c r="I1" s="122"/>
    </row>
    <row r="2" spans="1:9" x14ac:dyDescent="0.25">
      <c r="A2" s="123" t="s">
        <v>145</v>
      </c>
      <c r="B2" s="123"/>
      <c r="C2" s="123"/>
      <c r="D2" s="123"/>
      <c r="E2" s="123"/>
      <c r="F2" s="123"/>
      <c r="G2" s="123"/>
      <c r="H2" s="123"/>
      <c r="I2" s="123"/>
    </row>
    <row r="3" spans="1:9" x14ac:dyDescent="0.25">
      <c r="A3" s="74"/>
    </row>
    <row r="4" spans="1:9" ht="15" customHeight="1" x14ac:dyDescent="0.25">
      <c r="A4" s="117" t="s">
        <v>15</v>
      </c>
      <c r="B4" s="117" t="s">
        <v>89</v>
      </c>
      <c r="C4" s="117" t="s">
        <v>189</v>
      </c>
      <c r="D4" s="117" t="s">
        <v>188</v>
      </c>
      <c r="E4" s="117" t="s">
        <v>190</v>
      </c>
      <c r="F4" s="117" t="s">
        <v>181</v>
      </c>
      <c r="G4" s="117"/>
      <c r="H4" s="117"/>
      <c r="I4" s="117"/>
    </row>
    <row r="5" spans="1:9" ht="55.9" customHeight="1" x14ac:dyDescent="0.25">
      <c r="A5" s="117"/>
      <c r="B5" s="117"/>
      <c r="C5" s="117"/>
      <c r="D5" s="117"/>
      <c r="E5" s="117"/>
      <c r="F5" s="65" t="s">
        <v>182</v>
      </c>
      <c r="G5" s="65" t="s">
        <v>183</v>
      </c>
      <c r="H5" s="65" t="s">
        <v>184</v>
      </c>
      <c r="I5" s="65" t="s">
        <v>185</v>
      </c>
    </row>
    <row r="6" spans="1:9" ht="15.75" x14ac:dyDescent="0.25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53">
        <v>9</v>
      </c>
    </row>
    <row r="7" spans="1:9" x14ac:dyDescent="0.25">
      <c r="A7" s="75" t="s">
        <v>146</v>
      </c>
      <c r="B7" s="76">
        <v>11000</v>
      </c>
      <c r="C7" s="77">
        <f t="shared" ref="C7:D7" si="0">SUM(C8:C13)</f>
        <v>380.8</v>
      </c>
      <c r="D7" s="77">
        <f t="shared" si="0"/>
        <v>150</v>
      </c>
      <c r="E7" s="77">
        <f>SUM(E8:E13)</f>
        <v>0</v>
      </c>
      <c r="F7" s="77">
        <f>SUM(F8:F13)</f>
        <v>0</v>
      </c>
      <c r="G7" s="77">
        <f t="shared" ref="G7:I7" si="1">SUM(G8:G13)</f>
        <v>0</v>
      </c>
      <c r="H7" s="77">
        <f t="shared" si="1"/>
        <v>0</v>
      </c>
      <c r="I7" s="77">
        <f t="shared" si="1"/>
        <v>0</v>
      </c>
    </row>
    <row r="8" spans="1:9" x14ac:dyDescent="0.25">
      <c r="A8" s="78" t="s">
        <v>147</v>
      </c>
      <c r="B8" s="43">
        <v>11001</v>
      </c>
      <c r="C8" s="79"/>
      <c r="D8" s="79"/>
      <c r="E8" s="79"/>
      <c r="F8" s="79"/>
      <c r="G8" s="79"/>
      <c r="H8" s="79"/>
      <c r="I8" s="79"/>
    </row>
    <row r="9" spans="1:9" x14ac:dyDescent="0.25">
      <c r="A9" s="78" t="s">
        <v>148</v>
      </c>
      <c r="B9" s="43">
        <v>11002</v>
      </c>
      <c r="C9" s="79">
        <f>'Таблиця 1'!C89</f>
        <v>380.8</v>
      </c>
      <c r="D9" s="79">
        <f>'Таблиця 1'!D89</f>
        <v>150</v>
      </c>
      <c r="E9" s="79">
        <f>'Таблиця 1'!E89</f>
        <v>0</v>
      </c>
      <c r="F9" s="79">
        <f>'Таблиця 1'!F89</f>
        <v>0</v>
      </c>
      <c r="G9" s="79">
        <f>'Таблиця 1'!G89</f>
        <v>0</v>
      </c>
      <c r="H9" s="79">
        <f>'Таблиця 1'!H89</f>
        <v>0</v>
      </c>
      <c r="I9" s="79">
        <f>'Таблиця 1'!I89</f>
        <v>0</v>
      </c>
    </row>
    <row r="10" spans="1:9" ht="28.9" customHeight="1" x14ac:dyDescent="0.25">
      <c r="A10" s="78" t="s">
        <v>149</v>
      </c>
      <c r="B10" s="43">
        <v>11003</v>
      </c>
      <c r="C10" s="79"/>
      <c r="D10" s="79"/>
      <c r="E10" s="79"/>
      <c r="F10" s="79"/>
      <c r="G10" s="79"/>
      <c r="H10" s="79"/>
      <c r="I10" s="79"/>
    </row>
    <row r="11" spans="1:9" x14ac:dyDescent="0.25">
      <c r="A11" s="78" t="s">
        <v>150</v>
      </c>
      <c r="B11" s="43">
        <v>11004</v>
      </c>
      <c r="C11" s="79"/>
      <c r="D11" s="79"/>
      <c r="E11" s="79"/>
      <c r="F11" s="79"/>
      <c r="G11" s="79"/>
      <c r="H11" s="79"/>
      <c r="I11" s="79"/>
    </row>
    <row r="12" spans="1:9" ht="38.25" x14ac:dyDescent="0.25">
      <c r="A12" s="78" t="s">
        <v>138</v>
      </c>
      <c r="B12" s="43">
        <v>11005</v>
      </c>
      <c r="C12" s="79"/>
      <c r="D12" s="79"/>
      <c r="E12" s="79"/>
      <c r="F12" s="79"/>
      <c r="G12" s="79"/>
      <c r="H12" s="79"/>
      <c r="I12" s="79"/>
    </row>
    <row r="13" spans="1:9" x14ac:dyDescent="0.25">
      <c r="A13" s="78" t="s">
        <v>139</v>
      </c>
      <c r="B13" s="43">
        <v>11006</v>
      </c>
      <c r="C13" s="79"/>
      <c r="D13" s="79"/>
      <c r="E13" s="79"/>
      <c r="F13" s="79"/>
      <c r="G13" s="79"/>
      <c r="H13" s="79"/>
      <c r="I13" s="79"/>
    </row>
    <row r="14" spans="1:9" x14ac:dyDescent="0.25">
      <c r="A14" s="80"/>
    </row>
    <row r="15" spans="1:9" ht="19.149999999999999" customHeight="1" thickBot="1" x14ac:dyDescent="0.3">
      <c r="A15" s="64" t="s">
        <v>179</v>
      </c>
      <c r="B15" s="58"/>
      <c r="C15" s="58"/>
      <c r="D15" s="58"/>
      <c r="E15" s="114"/>
      <c r="F15" s="114"/>
      <c r="G15" s="114" t="s">
        <v>162</v>
      </c>
      <c r="H15" s="114"/>
      <c r="I15" s="114"/>
    </row>
    <row r="16" spans="1:9" ht="24" customHeight="1" x14ac:dyDescent="0.25">
      <c r="A16" s="59" t="s">
        <v>86</v>
      </c>
      <c r="B16" s="60" t="s">
        <v>87</v>
      </c>
      <c r="C16" s="60"/>
      <c r="D16" s="60"/>
      <c r="E16" s="116"/>
      <c r="F16" s="116"/>
      <c r="G16" s="116" t="s">
        <v>88</v>
      </c>
      <c r="H16" s="116"/>
      <c r="I16" s="116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16" workbookViewId="0">
      <selection activeCell="A23" sqref="A23:XFD29"/>
    </sheetView>
  </sheetViews>
  <sheetFormatPr defaultColWidth="8.85546875" defaultRowHeight="15.75" x14ac:dyDescent="0.25"/>
  <cols>
    <col min="1" max="1" width="80.5703125" style="82" customWidth="1"/>
    <col min="2" max="2" width="16.7109375" style="19" customWidth="1"/>
    <col min="3" max="3" width="20" style="19" customWidth="1"/>
    <col min="4" max="4" width="18.28515625" style="19" customWidth="1"/>
    <col min="5" max="16384" width="8.85546875" style="19"/>
  </cols>
  <sheetData>
    <row r="1" spans="1:4" s="82" customFormat="1" x14ac:dyDescent="0.25">
      <c r="A1" s="81"/>
      <c r="D1" s="81" t="s">
        <v>151</v>
      </c>
    </row>
    <row r="2" spans="1:4" s="82" customFormat="1" x14ac:dyDescent="0.25">
      <c r="A2" s="115" t="s">
        <v>152</v>
      </c>
      <c r="B2" s="115"/>
      <c r="C2" s="115"/>
      <c r="D2" s="115"/>
    </row>
    <row r="3" spans="1:4" s="82" customFormat="1" x14ac:dyDescent="0.25">
      <c r="A3" s="83"/>
    </row>
    <row r="4" spans="1:4" s="82" customFormat="1" ht="50.45" customHeight="1" x14ac:dyDescent="0.25">
      <c r="A4" s="65" t="s">
        <v>15</v>
      </c>
      <c r="B4" s="65" t="s">
        <v>189</v>
      </c>
      <c r="C4" s="65" t="s">
        <v>188</v>
      </c>
      <c r="D4" s="65" t="s">
        <v>192</v>
      </c>
    </row>
    <row r="5" spans="1:4" x14ac:dyDescent="0.25">
      <c r="A5" s="67">
        <v>1</v>
      </c>
      <c r="B5" s="87">
        <v>2</v>
      </c>
      <c r="C5" s="87">
        <v>3</v>
      </c>
      <c r="D5" s="87">
        <v>4</v>
      </c>
    </row>
    <row r="6" spans="1:4" ht="31.9" customHeight="1" x14ac:dyDescent="0.25">
      <c r="A6" s="66" t="s">
        <v>201</v>
      </c>
      <c r="B6" s="87">
        <f>SUM(B7:B9)</f>
        <v>135</v>
      </c>
      <c r="C6" s="87">
        <f>SUM(C7:C9)</f>
        <v>149</v>
      </c>
      <c r="D6" s="87">
        <f>SUM(D7:D9)</f>
        <v>124</v>
      </c>
    </row>
    <row r="7" spans="1:4" x14ac:dyDescent="0.25">
      <c r="A7" s="68" t="s">
        <v>153</v>
      </c>
      <c r="B7" s="65">
        <v>1</v>
      </c>
      <c r="C7" s="65">
        <v>1</v>
      </c>
      <c r="D7" s="65">
        <v>1</v>
      </c>
    </row>
    <row r="8" spans="1:4" x14ac:dyDescent="0.25">
      <c r="A8" s="68" t="s">
        <v>154</v>
      </c>
      <c r="B8" s="65">
        <v>21</v>
      </c>
      <c r="C8" s="65">
        <v>24</v>
      </c>
      <c r="D8" s="65">
        <v>23</v>
      </c>
    </row>
    <row r="9" spans="1:4" x14ac:dyDescent="0.25">
      <c r="A9" s="68" t="s">
        <v>155</v>
      </c>
      <c r="B9" s="65">
        <v>113</v>
      </c>
      <c r="C9" s="65">
        <v>124</v>
      </c>
      <c r="D9" s="65">
        <v>100</v>
      </c>
    </row>
    <row r="10" spans="1:4" s="82" customFormat="1" x14ac:dyDescent="0.25">
      <c r="A10" s="66" t="s">
        <v>156</v>
      </c>
      <c r="B10" s="89">
        <f>SUM(B11:B13)</f>
        <v>17424.5</v>
      </c>
      <c r="C10" s="89">
        <f>SUM(C11:C13)</f>
        <v>18404.400000000001</v>
      </c>
      <c r="D10" s="91">
        <f>SUM(D11:D13)</f>
        <v>17787.2</v>
      </c>
    </row>
    <row r="11" spans="1:4" s="82" customFormat="1" x14ac:dyDescent="0.25">
      <c r="A11" s="68" t="s">
        <v>153</v>
      </c>
      <c r="B11" s="88">
        <v>504</v>
      </c>
      <c r="C11" s="88">
        <f>136.5*4</f>
        <v>546</v>
      </c>
      <c r="D11" s="88">
        <v>546</v>
      </c>
    </row>
    <row r="12" spans="1:4" s="82" customFormat="1" x14ac:dyDescent="0.25">
      <c r="A12" s="68" t="s">
        <v>154</v>
      </c>
      <c r="B12" s="88">
        <f>'Таблиця 1'!C63-B11</f>
        <v>2292.5</v>
      </c>
      <c r="C12" s="88">
        <f>'Таблиця 1'!D63-C11</f>
        <v>2586.6999999999998</v>
      </c>
      <c r="D12" s="88">
        <f>'Таблиця 1'!E63-D11</f>
        <v>2955.2</v>
      </c>
    </row>
    <row r="13" spans="1:4" s="82" customFormat="1" x14ac:dyDescent="0.25">
      <c r="A13" s="68" t="s">
        <v>155</v>
      </c>
      <c r="B13" s="88">
        <f>'Таблиця 1'!C34</f>
        <v>14628</v>
      </c>
      <c r="C13" s="88">
        <f>'Таблиця 1'!D34</f>
        <v>15271.7</v>
      </c>
      <c r="D13" s="88">
        <f>'Таблиця 1'!E34</f>
        <v>14286</v>
      </c>
    </row>
    <row r="14" spans="1:4" ht="31.5" x14ac:dyDescent="0.25">
      <c r="A14" s="66" t="s">
        <v>157</v>
      </c>
      <c r="B14" s="39"/>
      <c r="C14" s="39"/>
      <c r="D14" s="40"/>
    </row>
    <row r="15" spans="1:4" x14ac:dyDescent="0.25">
      <c r="A15" s="68" t="s">
        <v>153</v>
      </c>
      <c r="B15" s="88">
        <f>B11/12/B7</f>
        <v>42</v>
      </c>
      <c r="C15" s="88">
        <f t="shared" ref="B15:C17" si="0">C11/12/C7</f>
        <v>45.5</v>
      </c>
      <c r="D15" s="88">
        <f>D11/D7/12</f>
        <v>45.5</v>
      </c>
    </row>
    <row r="16" spans="1:4" x14ac:dyDescent="0.25">
      <c r="A16" s="68" t="s">
        <v>154</v>
      </c>
      <c r="B16" s="88">
        <f t="shared" si="0"/>
        <v>9.0972222222222214</v>
      </c>
      <c r="C16" s="88">
        <f t="shared" si="0"/>
        <v>8.9815972222222218</v>
      </c>
      <c r="D16" s="88">
        <f t="shared" ref="D16:D17" si="1">D12/D8/12</f>
        <v>10.707246376811595</v>
      </c>
    </row>
    <row r="17" spans="1:5" x14ac:dyDescent="0.25">
      <c r="A17" s="68" t="s">
        <v>155</v>
      </c>
      <c r="B17" s="88">
        <f t="shared" si="0"/>
        <v>10.787610619469026</v>
      </c>
      <c r="C17" s="88">
        <f t="shared" si="0"/>
        <v>10.263239247311828</v>
      </c>
      <c r="D17" s="88">
        <f t="shared" si="1"/>
        <v>11.905000000000001</v>
      </c>
    </row>
    <row r="18" spans="1:5" s="82" customFormat="1" x14ac:dyDescent="0.25">
      <c r="A18" s="66" t="s">
        <v>158</v>
      </c>
      <c r="B18" s="89">
        <f>SUM(B19:B21)</f>
        <v>20825.006400000002</v>
      </c>
      <c r="C18" s="89">
        <f>SUM(C19:C21)</f>
        <v>21984.198600000003</v>
      </c>
      <c r="D18" s="89">
        <f>SUM(D19:D21)</f>
        <v>21623.598599999998</v>
      </c>
    </row>
    <row r="19" spans="1:5" s="82" customFormat="1" x14ac:dyDescent="0.25">
      <c r="A19" s="68" t="s">
        <v>153</v>
      </c>
      <c r="B19" s="88">
        <f>B11+(B11*8.41%)</f>
        <v>546.38639999999998</v>
      </c>
      <c r="C19" s="88">
        <f>C11+(C11*8.41%)</f>
        <v>591.91859999999997</v>
      </c>
      <c r="D19" s="88">
        <f>D11+(D11*8.41%)</f>
        <v>591.91859999999997</v>
      </c>
    </row>
    <row r="20" spans="1:5" s="82" customFormat="1" x14ac:dyDescent="0.25">
      <c r="A20" s="68" t="s">
        <v>154</v>
      </c>
      <c r="B20" s="88">
        <f>B12+'Таблиця 1'!C64-42.38</f>
        <v>2837.42</v>
      </c>
      <c r="C20" s="88">
        <f>C12+'Таблиця 1'!D64-45.92</f>
        <v>3199.18</v>
      </c>
      <c r="D20" s="88">
        <f>D12+'Таблиця 1'!E64-45.92</f>
        <v>3590.8799999999997</v>
      </c>
    </row>
    <row r="21" spans="1:5" s="82" customFormat="1" x14ac:dyDescent="0.25">
      <c r="A21" s="68" t="s">
        <v>155</v>
      </c>
      <c r="B21" s="88">
        <f>B13+'Таблиця 1'!C35</f>
        <v>17441.2</v>
      </c>
      <c r="C21" s="88">
        <f>C13+'Таблиця 1'!D35</f>
        <v>18193.100000000002</v>
      </c>
      <c r="D21" s="88">
        <f>D13+'Таблиця 1'!E35</f>
        <v>17440.8</v>
      </c>
    </row>
    <row r="22" spans="1:5" s="82" customFormat="1" ht="31.5" x14ac:dyDescent="0.25">
      <c r="A22" s="66" t="s">
        <v>159</v>
      </c>
      <c r="B22" s="89"/>
      <c r="C22" s="89"/>
      <c r="D22" s="91"/>
    </row>
    <row r="23" spans="1:5" s="82" customFormat="1" x14ac:dyDescent="0.25">
      <c r="A23" s="68" t="s">
        <v>153</v>
      </c>
      <c r="B23" s="88">
        <f>B19/12/B7</f>
        <v>45.532199999999996</v>
      </c>
      <c r="C23" s="88">
        <f>C19/12/C7</f>
        <v>49.326549999999997</v>
      </c>
      <c r="D23" s="88">
        <f>D19/12/D7</f>
        <v>49.326549999999997</v>
      </c>
    </row>
    <row r="24" spans="1:5" s="82" customFormat="1" x14ac:dyDescent="0.25">
      <c r="A24" s="68" t="s">
        <v>154</v>
      </c>
      <c r="B24" s="88">
        <f>B20/12/B8</f>
        <v>11.259603174603175</v>
      </c>
      <c r="C24" s="88">
        <f t="shared" ref="B24:D25" si="2">C20/12/C8</f>
        <v>11.108263888888887</v>
      </c>
      <c r="D24" s="88">
        <f>D20/12/D8</f>
        <v>13.010434782608694</v>
      </c>
    </row>
    <row r="25" spans="1:5" s="82" customFormat="1" x14ac:dyDescent="0.25">
      <c r="A25" s="68" t="s">
        <v>155</v>
      </c>
      <c r="B25" s="88">
        <f t="shared" si="2"/>
        <v>12.862241887905606</v>
      </c>
      <c r="C25" s="88">
        <f t="shared" si="2"/>
        <v>12.226545698924733</v>
      </c>
      <c r="D25" s="88">
        <f t="shared" si="2"/>
        <v>14.533999999999999</v>
      </c>
    </row>
    <row r="26" spans="1:5" s="82" customFormat="1" x14ac:dyDescent="0.25">
      <c r="A26" s="84"/>
      <c r="B26" s="92"/>
      <c r="C26" s="92"/>
      <c r="D26" s="92"/>
    </row>
    <row r="27" spans="1:5" s="82" customFormat="1" x14ac:dyDescent="0.25">
      <c r="A27" s="85"/>
    </row>
    <row r="28" spans="1:5" s="82" customFormat="1" ht="16.149999999999999" customHeight="1" thickBot="1" x14ac:dyDescent="0.3">
      <c r="A28" s="64" t="s">
        <v>179</v>
      </c>
      <c r="B28" s="114" t="s">
        <v>162</v>
      </c>
      <c r="C28" s="114"/>
      <c r="D28" s="114"/>
      <c r="E28" s="93"/>
    </row>
    <row r="29" spans="1:5" s="82" customFormat="1" x14ac:dyDescent="0.25">
      <c r="A29" s="71" t="s">
        <v>166</v>
      </c>
      <c r="B29" s="94"/>
      <c r="C29" s="124" t="s">
        <v>165</v>
      </c>
      <c r="D29" s="124"/>
      <c r="E29" s="94"/>
    </row>
    <row r="30" spans="1:5" x14ac:dyDescent="0.25">
      <c r="A30" s="85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2023-12-25T10:05:05Z</dcterms:modified>
</cp:coreProperties>
</file>